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6555" firstSheet="1" activeTab="1"/>
  </bookViews>
  <sheets>
    <sheet name="Outline" sheetId="37" r:id="rId1"/>
    <sheet name="M2" sheetId="33" r:id="rId2"/>
  </sheets>
  <externalReferences>
    <externalReference r:id="rId3"/>
    <externalReference r:id="rId4"/>
    <externalReference r:id="rId5"/>
    <externalReference r:id="rId6"/>
    <externalReference r:id="rId7"/>
  </externalReferences>
  <calcPr calcId="145621" concurrentCalc="0"/>
</workbook>
</file>

<file path=xl/calcChain.xml><?xml version="1.0" encoding="utf-8"?>
<calcChain xmlns="http://schemas.openxmlformats.org/spreadsheetml/2006/main">
  <c r="F577" i="33" l="1"/>
  <c r="G577" i="33"/>
  <c r="H577" i="33"/>
  <c r="I577" i="33"/>
  <c r="J577" i="33"/>
  <c r="K577" i="33"/>
  <c r="L577" i="33"/>
  <c r="M577" i="33"/>
  <c r="N577" i="33"/>
  <c r="F578" i="33"/>
  <c r="G578" i="33"/>
  <c r="H578" i="33"/>
  <c r="I578" i="33"/>
  <c r="J578" i="33"/>
  <c r="K578" i="33"/>
  <c r="L578" i="33"/>
  <c r="M578" i="33"/>
  <c r="N578" i="33"/>
  <c r="F579" i="33"/>
  <c r="G579" i="33"/>
  <c r="H579" i="33"/>
  <c r="I579" i="33"/>
  <c r="J579" i="33"/>
  <c r="K579" i="33"/>
  <c r="L579" i="33"/>
  <c r="M579" i="33"/>
  <c r="N579" i="33"/>
  <c r="E558" i="33"/>
  <c r="F558" i="33"/>
  <c r="G558" i="33"/>
  <c r="H558" i="33"/>
  <c r="I558" i="33"/>
  <c r="J558" i="33"/>
  <c r="K558" i="33"/>
  <c r="L558" i="33"/>
  <c r="M558" i="33"/>
  <c r="N558" i="33"/>
  <c r="F541" i="33"/>
  <c r="G541" i="33"/>
  <c r="H541" i="33"/>
  <c r="I541" i="33"/>
  <c r="J541" i="33"/>
  <c r="K541" i="33"/>
  <c r="L541" i="33"/>
  <c r="M541" i="33"/>
  <c r="N541" i="33"/>
  <c r="E543" i="33"/>
  <c r="F543" i="33"/>
  <c r="G543" i="33"/>
  <c r="H543" i="33"/>
  <c r="I543" i="33"/>
  <c r="J543" i="33"/>
  <c r="K543" i="33"/>
  <c r="L543" i="33"/>
  <c r="M543" i="33"/>
  <c r="N543" i="33"/>
  <c r="E619" i="33"/>
  <c r="F619" i="33"/>
  <c r="G619" i="33"/>
  <c r="H619" i="33"/>
  <c r="I619" i="33"/>
  <c r="J619" i="33"/>
  <c r="K619" i="33"/>
  <c r="L619" i="33"/>
  <c r="M619" i="33"/>
  <c r="N619" i="33"/>
  <c r="O619" i="33"/>
  <c r="E621" i="33"/>
  <c r="F621" i="33"/>
  <c r="G621" i="33"/>
  <c r="H621" i="33"/>
  <c r="I621" i="33"/>
  <c r="J621" i="33"/>
  <c r="K621" i="33"/>
  <c r="L621" i="33"/>
  <c r="M621" i="33"/>
  <c r="N621" i="33"/>
  <c r="O621" i="33"/>
  <c r="E631" i="33"/>
  <c r="F631" i="33"/>
  <c r="G631" i="33"/>
  <c r="H631" i="33"/>
  <c r="I631" i="33"/>
  <c r="J631" i="33"/>
  <c r="K631" i="33"/>
  <c r="L631" i="33"/>
  <c r="M631" i="33"/>
  <c r="N631" i="33"/>
  <c r="F632" i="33"/>
  <c r="G632" i="33"/>
  <c r="H632" i="33"/>
  <c r="I632" i="33"/>
  <c r="J632" i="33"/>
  <c r="K632" i="33"/>
  <c r="L632" i="33"/>
  <c r="M632" i="33"/>
  <c r="N632" i="33"/>
  <c r="F633" i="33"/>
  <c r="G633" i="33"/>
  <c r="H633" i="33"/>
  <c r="I633" i="33"/>
  <c r="J633" i="33"/>
  <c r="K633" i="33"/>
  <c r="L633" i="33"/>
  <c r="M633" i="33"/>
  <c r="N633" i="33"/>
  <c r="H634" i="33"/>
  <c r="I634" i="33"/>
  <c r="J634" i="33"/>
  <c r="K634" i="33"/>
  <c r="L634" i="33"/>
  <c r="M634" i="33"/>
  <c r="N634" i="33"/>
  <c r="F635" i="33"/>
  <c r="G635" i="33"/>
  <c r="H635" i="33"/>
  <c r="I635" i="33"/>
  <c r="J635" i="33"/>
  <c r="K635" i="33"/>
  <c r="L635" i="33"/>
  <c r="M635" i="33"/>
  <c r="N635" i="33"/>
  <c r="F636" i="33"/>
  <c r="G636" i="33"/>
  <c r="H636" i="33"/>
  <c r="I636" i="33"/>
  <c r="J636" i="33"/>
  <c r="K636" i="33"/>
  <c r="L636" i="33"/>
  <c r="M636" i="33"/>
  <c r="N636" i="33"/>
  <c r="H637" i="33"/>
  <c r="I637" i="33"/>
  <c r="J637" i="33"/>
  <c r="K637" i="33"/>
  <c r="L637" i="33"/>
  <c r="M637" i="33"/>
  <c r="N637" i="33"/>
  <c r="H638" i="33"/>
  <c r="I638" i="33"/>
  <c r="J638" i="33"/>
  <c r="K638" i="33"/>
  <c r="L638" i="33"/>
  <c r="M638" i="33"/>
  <c r="N638" i="33"/>
  <c r="F639" i="33"/>
  <c r="G639" i="33"/>
  <c r="H639" i="33"/>
  <c r="I639" i="33"/>
  <c r="J639" i="33"/>
  <c r="K639" i="33"/>
  <c r="L639" i="33"/>
  <c r="M639" i="33"/>
  <c r="N639" i="33"/>
  <c r="E640" i="33"/>
  <c r="F640" i="33"/>
  <c r="G640" i="33"/>
  <c r="H640" i="33"/>
  <c r="I640" i="33"/>
  <c r="J640" i="33"/>
  <c r="K640" i="33"/>
  <c r="L640" i="33"/>
  <c r="M640" i="33"/>
  <c r="N640" i="33"/>
  <c r="E644" i="33"/>
  <c r="F644" i="33"/>
  <c r="G644" i="33"/>
  <c r="H644" i="33"/>
  <c r="I644" i="33"/>
  <c r="J644" i="33"/>
  <c r="K644" i="33"/>
  <c r="L644" i="33"/>
  <c r="M644" i="33"/>
  <c r="N644" i="33"/>
  <c r="F645" i="33"/>
  <c r="G645" i="33"/>
  <c r="H645" i="33"/>
  <c r="I645" i="33"/>
  <c r="J645" i="33"/>
  <c r="K645" i="33"/>
  <c r="L645" i="33"/>
  <c r="M645" i="33"/>
  <c r="N645" i="33"/>
  <c r="F646" i="33"/>
  <c r="G646" i="33"/>
  <c r="H646" i="33"/>
  <c r="I646" i="33"/>
  <c r="J646" i="33"/>
  <c r="K646" i="33"/>
  <c r="L646" i="33"/>
  <c r="M646" i="33"/>
  <c r="N646" i="33"/>
  <c r="F647" i="33"/>
  <c r="G647" i="33"/>
  <c r="H647" i="33"/>
  <c r="I647" i="33"/>
  <c r="J647" i="33"/>
  <c r="K647" i="33"/>
  <c r="L647" i="33"/>
  <c r="M647" i="33"/>
  <c r="N647" i="33"/>
  <c r="F648" i="33"/>
  <c r="G648" i="33"/>
  <c r="H648" i="33"/>
  <c r="I648" i="33"/>
  <c r="J648" i="33"/>
  <c r="K648" i="33"/>
  <c r="L648" i="33"/>
  <c r="M648" i="33"/>
  <c r="N648" i="33"/>
  <c r="F649" i="33"/>
  <c r="G649" i="33"/>
  <c r="H649" i="33"/>
  <c r="I649" i="33"/>
  <c r="J649" i="33"/>
  <c r="K649" i="33"/>
  <c r="L649" i="33"/>
  <c r="M649" i="33"/>
  <c r="N649" i="33"/>
  <c r="F650" i="33"/>
  <c r="G650" i="33"/>
  <c r="H650" i="33"/>
  <c r="I650" i="33"/>
  <c r="J650" i="33"/>
  <c r="K650" i="33"/>
  <c r="L650" i="33"/>
  <c r="M650" i="33"/>
  <c r="N650" i="33"/>
  <c r="F651" i="33"/>
  <c r="G651" i="33"/>
  <c r="H651" i="33"/>
  <c r="I651" i="33"/>
  <c r="J651" i="33"/>
  <c r="K651" i="33"/>
  <c r="L651" i="33"/>
  <c r="M651" i="33"/>
  <c r="N651" i="33"/>
  <c r="F652" i="33"/>
  <c r="G652" i="33"/>
  <c r="H652" i="33"/>
  <c r="I652" i="33"/>
  <c r="J652" i="33"/>
  <c r="K652" i="33"/>
  <c r="L652" i="33"/>
  <c r="M652" i="33"/>
  <c r="N652" i="33"/>
  <c r="E653" i="33"/>
  <c r="F653" i="33"/>
  <c r="G653" i="33"/>
  <c r="H653" i="33"/>
  <c r="I653" i="33"/>
  <c r="J653" i="33"/>
  <c r="K653" i="33"/>
  <c r="L653" i="33"/>
  <c r="M653" i="33"/>
  <c r="N653" i="33"/>
  <c r="E655" i="33"/>
  <c r="F655" i="33"/>
  <c r="G655" i="33"/>
  <c r="H655" i="33"/>
  <c r="I655" i="33"/>
  <c r="J655" i="33"/>
  <c r="K655" i="33"/>
  <c r="L655" i="33"/>
  <c r="M655" i="33"/>
  <c r="N655" i="33"/>
  <c r="F656" i="33"/>
  <c r="G656" i="33"/>
  <c r="H656" i="33"/>
  <c r="I656" i="33"/>
  <c r="J656" i="33"/>
  <c r="K656" i="33"/>
  <c r="L656" i="33"/>
  <c r="M656" i="33"/>
  <c r="N656" i="33"/>
  <c r="F657" i="33"/>
  <c r="G657" i="33"/>
  <c r="H657" i="33"/>
  <c r="I657" i="33"/>
  <c r="J657" i="33"/>
  <c r="K657" i="33"/>
  <c r="L657" i="33"/>
  <c r="M657" i="33"/>
  <c r="N657" i="33"/>
  <c r="F658" i="33"/>
  <c r="G658" i="33"/>
  <c r="H658" i="33"/>
  <c r="I658" i="33"/>
  <c r="J658" i="33"/>
  <c r="K658" i="33"/>
  <c r="L658" i="33"/>
  <c r="M658" i="33"/>
  <c r="N658" i="33"/>
  <c r="F659" i="33"/>
  <c r="G659" i="33"/>
  <c r="H659" i="33"/>
  <c r="I659" i="33"/>
  <c r="J659" i="33"/>
  <c r="K659" i="33"/>
  <c r="L659" i="33"/>
  <c r="M659" i="33"/>
  <c r="N659" i="33"/>
  <c r="F660" i="33"/>
  <c r="G660" i="33"/>
  <c r="H660" i="33"/>
  <c r="I660" i="33"/>
  <c r="J660" i="33"/>
  <c r="K660" i="33"/>
  <c r="L660" i="33"/>
  <c r="M660" i="33"/>
  <c r="N660" i="33"/>
  <c r="F661" i="33"/>
  <c r="G661" i="33"/>
  <c r="H661" i="33"/>
  <c r="I661" i="33"/>
  <c r="J661" i="33"/>
  <c r="K661" i="33"/>
  <c r="L661" i="33"/>
  <c r="M661" i="33"/>
  <c r="N661" i="33"/>
  <c r="F662" i="33"/>
  <c r="G662" i="33"/>
  <c r="H662" i="33"/>
  <c r="I662" i="33"/>
  <c r="J662" i="33"/>
  <c r="K662" i="33"/>
  <c r="L662" i="33"/>
  <c r="M662" i="33"/>
  <c r="N662" i="33"/>
  <c r="F663" i="33"/>
  <c r="G663" i="33"/>
  <c r="H663" i="33"/>
  <c r="I663" i="33"/>
  <c r="J663" i="33"/>
  <c r="K663" i="33"/>
  <c r="L663" i="33"/>
  <c r="M663" i="33"/>
  <c r="N663" i="33"/>
  <c r="E664" i="33"/>
  <c r="F664" i="33"/>
  <c r="G664" i="33"/>
  <c r="H664" i="33"/>
  <c r="I664" i="33"/>
  <c r="J664" i="33"/>
  <c r="K664" i="33"/>
  <c r="L664" i="33"/>
  <c r="M664" i="33"/>
  <c r="N664" i="33"/>
  <c r="E666" i="33"/>
  <c r="F666" i="33"/>
  <c r="G666" i="33"/>
  <c r="H666" i="33"/>
  <c r="I666" i="33"/>
  <c r="J666" i="33"/>
  <c r="K666" i="33"/>
  <c r="L666" i="33"/>
  <c r="M666" i="33"/>
  <c r="N666" i="33"/>
  <c r="E667" i="33"/>
  <c r="F667" i="33"/>
  <c r="G667" i="33"/>
  <c r="H667" i="33"/>
  <c r="I667" i="33"/>
  <c r="J667" i="33"/>
  <c r="K667" i="33"/>
  <c r="L667" i="33"/>
  <c r="M667" i="33"/>
  <c r="N667" i="33"/>
  <c r="E669" i="33"/>
  <c r="F669" i="33"/>
  <c r="G669" i="33"/>
  <c r="H669" i="33"/>
  <c r="I669" i="33"/>
  <c r="J669" i="33"/>
  <c r="K669" i="33"/>
  <c r="L669" i="33"/>
  <c r="M669" i="33"/>
  <c r="N669" i="33"/>
  <c r="D724" i="33"/>
  <c r="E670" i="33"/>
  <c r="E724" i="33"/>
  <c r="F670" i="33"/>
  <c r="F724" i="33"/>
  <c r="G670" i="33"/>
  <c r="G724" i="33"/>
  <c r="H670" i="33"/>
  <c r="H724" i="33"/>
  <c r="I670" i="33"/>
  <c r="I724" i="33"/>
  <c r="J670" i="33"/>
  <c r="J724" i="33"/>
  <c r="K670" i="33"/>
  <c r="K724" i="33"/>
  <c r="L670" i="33"/>
  <c r="L724" i="33"/>
  <c r="M670" i="33"/>
  <c r="M724" i="33"/>
  <c r="N670" i="33"/>
  <c r="E672" i="33"/>
  <c r="F672" i="33"/>
  <c r="G672" i="33"/>
  <c r="H672" i="33"/>
  <c r="I672" i="33"/>
  <c r="J672" i="33"/>
  <c r="K672" i="33"/>
  <c r="L672" i="33"/>
  <c r="M672" i="33"/>
  <c r="N672" i="33"/>
  <c r="D689" i="33"/>
  <c r="E673" i="33"/>
  <c r="E689" i="33"/>
  <c r="F673" i="33"/>
  <c r="F689" i="33"/>
  <c r="G673" i="33"/>
  <c r="G689" i="33"/>
  <c r="H673" i="33"/>
  <c r="H689" i="33"/>
  <c r="I673" i="33"/>
  <c r="I689" i="33"/>
  <c r="J673" i="33"/>
  <c r="J689" i="33"/>
  <c r="K673" i="33"/>
  <c r="K689" i="33"/>
  <c r="L673" i="33"/>
  <c r="L689" i="33"/>
  <c r="M673" i="33"/>
  <c r="M689" i="33"/>
  <c r="N673" i="33"/>
  <c r="E674" i="33"/>
  <c r="F674" i="33"/>
  <c r="G674" i="33"/>
  <c r="H674" i="33"/>
  <c r="I674" i="33"/>
  <c r="J674" i="33"/>
  <c r="K674" i="33"/>
  <c r="L674" i="33"/>
  <c r="M674" i="33"/>
  <c r="N674" i="33"/>
  <c r="E676" i="33"/>
  <c r="F676" i="33"/>
  <c r="G676" i="33"/>
  <c r="H676" i="33"/>
  <c r="I676" i="33"/>
  <c r="J676" i="33"/>
  <c r="K676" i="33"/>
  <c r="L676" i="33"/>
  <c r="M676" i="33"/>
  <c r="N676" i="33"/>
  <c r="D692" i="33"/>
  <c r="E677" i="33"/>
  <c r="E692" i="33"/>
  <c r="F677" i="33"/>
  <c r="F692" i="33"/>
  <c r="G677" i="33"/>
  <c r="G692" i="33"/>
  <c r="H677" i="33"/>
  <c r="H692" i="33"/>
  <c r="I677" i="33"/>
  <c r="I692" i="33"/>
  <c r="J677" i="33"/>
  <c r="J692" i="33"/>
  <c r="K677" i="33"/>
  <c r="K692" i="33"/>
  <c r="L677" i="33"/>
  <c r="L692" i="33"/>
  <c r="M677" i="33"/>
  <c r="M692" i="33"/>
  <c r="N677" i="33"/>
  <c r="E678" i="33"/>
  <c r="F678" i="33"/>
  <c r="G678" i="33"/>
  <c r="H678" i="33"/>
  <c r="I678" i="33"/>
  <c r="J678" i="33"/>
  <c r="K678" i="33"/>
  <c r="L678" i="33"/>
  <c r="M678" i="33"/>
  <c r="N678" i="33"/>
  <c r="D740" i="33"/>
  <c r="E740" i="33"/>
  <c r="F740" i="33"/>
  <c r="G740" i="33"/>
  <c r="H740" i="33"/>
  <c r="I740" i="33"/>
  <c r="J740" i="33"/>
  <c r="K740" i="33"/>
  <c r="L740" i="33"/>
  <c r="M740" i="33"/>
  <c r="D741" i="33"/>
  <c r="E741" i="33"/>
  <c r="F741" i="33"/>
  <c r="G741" i="33"/>
  <c r="H741" i="33"/>
  <c r="I741" i="33"/>
  <c r="J741" i="33"/>
  <c r="K741" i="33"/>
  <c r="L741" i="33"/>
  <c r="M741" i="33"/>
  <c r="O741" i="33"/>
  <c r="D742" i="33"/>
  <c r="E742" i="33"/>
  <c r="F742" i="33"/>
  <c r="G742" i="33"/>
  <c r="H742" i="33"/>
  <c r="I742" i="33"/>
  <c r="J742" i="33"/>
  <c r="K742" i="33"/>
  <c r="L742" i="33"/>
  <c r="M742" i="33"/>
  <c r="O742" i="33"/>
  <c r="D744" i="33"/>
  <c r="E744" i="33"/>
  <c r="F744" i="33"/>
  <c r="G744" i="33"/>
  <c r="H744" i="33"/>
  <c r="I744" i="33"/>
  <c r="J744" i="33"/>
  <c r="K744" i="33"/>
  <c r="L744" i="33"/>
  <c r="M744" i="33"/>
  <c r="D745" i="33"/>
  <c r="E745" i="33"/>
  <c r="F745" i="33"/>
  <c r="G745" i="33"/>
  <c r="H745" i="33"/>
  <c r="I745" i="33"/>
  <c r="J745" i="33"/>
  <c r="K745" i="33"/>
  <c r="L745" i="33"/>
  <c r="M745" i="33"/>
  <c r="D747" i="33"/>
  <c r="E747" i="33"/>
  <c r="F747" i="33"/>
  <c r="G747" i="33"/>
  <c r="H747" i="33"/>
  <c r="I747" i="33"/>
  <c r="J747" i="33"/>
  <c r="K747" i="33"/>
  <c r="L747" i="33"/>
  <c r="M747" i="33"/>
  <c r="O747" i="33"/>
  <c r="D749" i="33"/>
  <c r="E749" i="33"/>
  <c r="F749" i="33"/>
  <c r="G749" i="33"/>
  <c r="H749" i="33"/>
  <c r="I749" i="33"/>
  <c r="J749" i="33"/>
  <c r="K749" i="33"/>
  <c r="L749" i="33"/>
  <c r="M749" i="33"/>
  <c r="O749" i="33"/>
  <c r="D752" i="33"/>
  <c r="E752" i="33"/>
  <c r="F752" i="33"/>
  <c r="G752" i="33"/>
  <c r="H752" i="33"/>
  <c r="I752" i="33"/>
  <c r="J752" i="33"/>
  <c r="K752" i="33"/>
  <c r="L752" i="33"/>
  <c r="M752" i="33"/>
  <c r="O752" i="33"/>
  <c r="D753" i="33"/>
  <c r="E753" i="33"/>
  <c r="F753" i="33"/>
  <c r="G753" i="33"/>
  <c r="H753" i="33"/>
  <c r="I753" i="33"/>
  <c r="J753" i="33"/>
  <c r="K753" i="33"/>
  <c r="L753" i="33"/>
  <c r="M753" i="33"/>
  <c r="O753" i="33"/>
  <c r="D754" i="33"/>
  <c r="E754" i="33"/>
  <c r="F754" i="33"/>
  <c r="G754" i="33"/>
  <c r="H754" i="33"/>
  <c r="I754" i="33"/>
  <c r="J754" i="33"/>
  <c r="K754" i="33"/>
  <c r="L754" i="33"/>
  <c r="M754" i="33"/>
  <c r="O754" i="33"/>
  <c r="D755" i="33"/>
  <c r="E755" i="33"/>
  <c r="F755" i="33"/>
  <c r="G755" i="33"/>
  <c r="H755" i="33"/>
  <c r="I755" i="33"/>
  <c r="J755" i="33"/>
  <c r="K755" i="33"/>
  <c r="L755" i="33"/>
  <c r="M755" i="33"/>
  <c r="O755" i="33"/>
  <c r="D757" i="33"/>
  <c r="E757" i="33"/>
  <c r="F757" i="33"/>
  <c r="G757" i="33"/>
  <c r="H757" i="33"/>
  <c r="I757" i="33"/>
  <c r="J757" i="33"/>
  <c r="K757" i="33"/>
  <c r="L757" i="33"/>
  <c r="M757" i="33"/>
  <c r="O757" i="33"/>
  <c r="D758" i="33"/>
  <c r="E758" i="33"/>
  <c r="F758" i="33"/>
  <c r="G758" i="33"/>
  <c r="H758" i="33"/>
  <c r="I758" i="33"/>
  <c r="J758" i="33"/>
  <c r="K758" i="33"/>
  <c r="L758" i="33"/>
  <c r="M758" i="33"/>
  <c r="O758" i="33"/>
  <c r="D759" i="33"/>
  <c r="E759" i="33"/>
  <c r="F759" i="33"/>
  <c r="G759" i="33"/>
  <c r="H759" i="33"/>
  <c r="I759" i="33"/>
  <c r="J759" i="33"/>
  <c r="K759" i="33"/>
  <c r="L759" i="33"/>
  <c r="M759" i="33"/>
  <c r="O759" i="33"/>
  <c r="D760" i="33"/>
  <c r="E760" i="33"/>
  <c r="F760" i="33"/>
  <c r="G760" i="33"/>
  <c r="H760" i="33"/>
  <c r="I760" i="33"/>
  <c r="J760" i="33"/>
  <c r="K760" i="33"/>
  <c r="L760" i="33"/>
  <c r="M760" i="33"/>
  <c r="O760" i="33"/>
  <c r="D763" i="33"/>
  <c r="E763" i="33"/>
  <c r="F763" i="33"/>
  <c r="G763" i="33"/>
  <c r="H763" i="33"/>
  <c r="I763" i="33"/>
  <c r="J763" i="33"/>
  <c r="K763" i="33"/>
  <c r="L763" i="33"/>
  <c r="M763" i="33"/>
  <c r="O763" i="33"/>
  <c r="E764" i="33"/>
  <c r="F764" i="33"/>
  <c r="G764" i="33"/>
  <c r="H764" i="33"/>
  <c r="I764" i="33"/>
  <c r="J764" i="33"/>
  <c r="K764" i="33"/>
  <c r="L764" i="33"/>
  <c r="M764" i="33"/>
  <c r="D765" i="33"/>
  <c r="E765" i="33"/>
  <c r="F765" i="33"/>
  <c r="G765" i="33"/>
  <c r="H765" i="33"/>
  <c r="I765" i="33"/>
  <c r="J765" i="33"/>
  <c r="K765" i="33"/>
  <c r="L765" i="33"/>
  <c r="M765" i="33"/>
  <c r="O765" i="33"/>
  <c r="D767" i="33"/>
  <c r="E767" i="33"/>
  <c r="F767" i="33"/>
  <c r="G767" i="33"/>
  <c r="H767" i="33"/>
  <c r="I767" i="33"/>
  <c r="J767" i="33"/>
  <c r="K767" i="33"/>
  <c r="L767" i="33"/>
  <c r="M767" i="33"/>
  <c r="O767" i="33"/>
  <c r="E769" i="33"/>
  <c r="F769" i="33"/>
  <c r="G769" i="33"/>
  <c r="H769" i="33"/>
  <c r="I769" i="33"/>
  <c r="J769" i="33"/>
  <c r="K769" i="33"/>
  <c r="L769" i="33"/>
  <c r="M769" i="33"/>
  <c r="D770" i="33"/>
  <c r="E770" i="33"/>
  <c r="F770" i="33"/>
  <c r="G770" i="33"/>
  <c r="H770" i="33"/>
  <c r="I770" i="33"/>
  <c r="J770" i="33"/>
  <c r="K770" i="33"/>
  <c r="L770" i="33"/>
  <c r="M770" i="33"/>
  <c r="O770" i="33"/>
  <c r="D718" i="33"/>
  <c r="E718" i="33"/>
  <c r="F718" i="33"/>
  <c r="G718" i="33"/>
  <c r="H718" i="33"/>
  <c r="I718" i="33"/>
  <c r="J718" i="33"/>
  <c r="K718" i="33"/>
  <c r="L718" i="33"/>
  <c r="M718" i="33"/>
  <c r="D719" i="33"/>
  <c r="E719" i="33"/>
  <c r="F719" i="33"/>
  <c r="G719" i="33"/>
  <c r="H719" i="33"/>
  <c r="I719" i="33"/>
  <c r="J719" i="33"/>
  <c r="K719" i="33"/>
  <c r="L719" i="33"/>
  <c r="M719" i="33"/>
  <c r="D720" i="33"/>
  <c r="E720" i="33"/>
  <c r="F720" i="33"/>
  <c r="G720" i="33"/>
  <c r="H720" i="33"/>
  <c r="I720" i="33"/>
  <c r="J720" i="33"/>
  <c r="K720" i="33"/>
  <c r="L720" i="33"/>
  <c r="M720" i="33"/>
  <c r="D722" i="33"/>
  <c r="E722" i="33"/>
  <c r="F722" i="33"/>
  <c r="G722" i="33"/>
  <c r="H722" i="33"/>
  <c r="I722" i="33"/>
  <c r="J722" i="33"/>
  <c r="K722" i="33"/>
  <c r="L722" i="33"/>
  <c r="M722" i="33"/>
  <c r="D723" i="33"/>
  <c r="E723" i="33"/>
  <c r="F723" i="33"/>
  <c r="G723" i="33"/>
  <c r="H723" i="33"/>
  <c r="I723" i="33"/>
  <c r="J723" i="33"/>
  <c r="K723" i="33"/>
  <c r="L723" i="33"/>
  <c r="M723" i="33"/>
  <c r="D726" i="33"/>
  <c r="E726" i="33"/>
  <c r="F726" i="33"/>
  <c r="G726" i="33"/>
  <c r="H726" i="33"/>
  <c r="I726" i="33"/>
  <c r="J726" i="33"/>
  <c r="K726" i="33"/>
  <c r="L726" i="33"/>
  <c r="M726" i="33"/>
  <c r="D707" i="33"/>
  <c r="D709" i="33"/>
  <c r="D702" i="33"/>
  <c r="D703" i="33"/>
  <c r="D699" i="33"/>
  <c r="D727" i="33"/>
  <c r="E707" i="33"/>
  <c r="E709" i="33"/>
  <c r="E702" i="33"/>
  <c r="E703" i="33"/>
  <c r="E699" i="33"/>
  <c r="E727" i="33"/>
  <c r="F707" i="33"/>
  <c r="F709" i="33"/>
  <c r="F702" i="33"/>
  <c r="F703" i="33"/>
  <c r="F699" i="33"/>
  <c r="F727" i="33"/>
  <c r="G707" i="33"/>
  <c r="G709" i="33"/>
  <c r="G702" i="33"/>
  <c r="G703" i="33"/>
  <c r="G699" i="33"/>
  <c r="G727" i="33"/>
  <c r="H707" i="33"/>
  <c r="H709" i="33"/>
  <c r="H702" i="33"/>
  <c r="H703" i="33"/>
  <c r="H699" i="33"/>
  <c r="H727" i="33"/>
  <c r="I707" i="33"/>
  <c r="I709" i="33"/>
  <c r="I702" i="33"/>
  <c r="I703" i="33"/>
  <c r="I699" i="33"/>
  <c r="I727" i="33"/>
  <c r="J707" i="33"/>
  <c r="J709" i="33"/>
  <c r="J702" i="33"/>
  <c r="J703" i="33"/>
  <c r="J699" i="33"/>
  <c r="J727" i="33"/>
  <c r="K707" i="33"/>
  <c r="K709" i="33"/>
  <c r="K702" i="33"/>
  <c r="K703" i="33"/>
  <c r="K699" i="33"/>
  <c r="K727" i="33"/>
  <c r="L707" i="33"/>
  <c r="L709" i="33"/>
  <c r="L702" i="33"/>
  <c r="L703" i="33"/>
  <c r="L699" i="33"/>
  <c r="L727" i="33"/>
  <c r="M707" i="33"/>
  <c r="M709" i="33"/>
  <c r="M702" i="33"/>
  <c r="M703" i="33"/>
  <c r="M699" i="33"/>
  <c r="M727" i="33"/>
  <c r="O727" i="33"/>
  <c r="D729" i="33"/>
  <c r="E729" i="33"/>
  <c r="F729" i="33"/>
  <c r="G729" i="33"/>
  <c r="H729" i="33"/>
  <c r="I729" i="33"/>
  <c r="J729" i="33"/>
  <c r="K729" i="33"/>
  <c r="L729" i="33"/>
  <c r="M729" i="33"/>
  <c r="O729" i="33"/>
  <c r="D730" i="33"/>
  <c r="E730" i="33"/>
  <c r="F730" i="33"/>
  <c r="G730" i="33"/>
  <c r="H730" i="33"/>
  <c r="I730" i="33"/>
  <c r="J730" i="33"/>
  <c r="K730" i="33"/>
  <c r="L730" i="33"/>
  <c r="M730" i="33"/>
  <c r="O730" i="33"/>
  <c r="D687" i="33"/>
  <c r="E687" i="33"/>
  <c r="F687" i="33"/>
  <c r="G687" i="33"/>
  <c r="H687" i="33"/>
  <c r="I687" i="33"/>
  <c r="J687" i="33"/>
  <c r="K687" i="33"/>
  <c r="L687" i="33"/>
  <c r="M687" i="33"/>
  <c r="D688" i="33"/>
  <c r="E688" i="33"/>
  <c r="F688" i="33"/>
  <c r="G688" i="33"/>
  <c r="H688" i="33"/>
  <c r="I688" i="33"/>
  <c r="J688" i="33"/>
  <c r="K688" i="33"/>
  <c r="L688" i="33"/>
  <c r="M688" i="33"/>
  <c r="O688" i="33"/>
  <c r="O689" i="33"/>
  <c r="D690" i="33"/>
  <c r="E690" i="33"/>
  <c r="F690" i="33"/>
  <c r="G690" i="33"/>
  <c r="H690" i="33"/>
  <c r="I690" i="33"/>
  <c r="J690" i="33"/>
  <c r="K690" i="33"/>
  <c r="L690" i="33"/>
  <c r="M690" i="33"/>
  <c r="O690" i="33"/>
  <c r="D691" i="33"/>
  <c r="E691" i="33"/>
  <c r="F691" i="33"/>
  <c r="G691" i="33"/>
  <c r="H691" i="33"/>
  <c r="I691" i="33"/>
  <c r="J691" i="33"/>
  <c r="K691" i="33"/>
  <c r="L691" i="33"/>
  <c r="M691" i="33"/>
  <c r="D696" i="33"/>
  <c r="E696" i="33"/>
  <c r="F696" i="33"/>
  <c r="G696" i="33"/>
  <c r="H696" i="33"/>
  <c r="I696" i="33"/>
  <c r="J696" i="33"/>
  <c r="K696" i="33"/>
  <c r="L696" i="33"/>
  <c r="M696" i="33"/>
  <c r="O696" i="33"/>
  <c r="D697" i="33"/>
  <c r="E697" i="33"/>
  <c r="F697" i="33"/>
  <c r="G697" i="33"/>
  <c r="H697" i="33"/>
  <c r="I697" i="33"/>
  <c r="J697" i="33"/>
  <c r="K697" i="33"/>
  <c r="L697" i="33"/>
  <c r="M697" i="33"/>
  <c r="O697" i="33"/>
  <c r="D698" i="33"/>
  <c r="E698" i="33"/>
  <c r="F698" i="33"/>
  <c r="G698" i="33"/>
  <c r="H698" i="33"/>
  <c r="I698" i="33"/>
  <c r="J698" i="33"/>
  <c r="K698" i="33"/>
  <c r="L698" i="33"/>
  <c r="M698" i="33"/>
  <c r="O698" i="33"/>
  <c r="O699" i="33"/>
  <c r="D700" i="33"/>
  <c r="E700" i="33"/>
  <c r="F700" i="33"/>
  <c r="G700" i="33"/>
  <c r="H700" i="33"/>
  <c r="I700" i="33"/>
  <c r="J700" i="33"/>
  <c r="K700" i="33"/>
  <c r="L700" i="33"/>
  <c r="M700" i="33"/>
  <c r="O700" i="33"/>
  <c r="D701" i="33"/>
  <c r="E701" i="33"/>
  <c r="F701" i="33"/>
  <c r="G701" i="33"/>
  <c r="H701" i="33"/>
  <c r="I701" i="33"/>
  <c r="J701" i="33"/>
  <c r="K701" i="33"/>
  <c r="L701" i="33"/>
  <c r="M701" i="33"/>
  <c r="O701" i="33"/>
  <c r="O702" i="33"/>
  <c r="O703" i="33"/>
  <c r="D704" i="33"/>
  <c r="E704" i="33"/>
  <c r="F704" i="33"/>
  <c r="G704" i="33"/>
  <c r="H704" i="33"/>
  <c r="I704" i="33"/>
  <c r="J704" i="33"/>
  <c r="K704" i="33"/>
  <c r="L704" i="33"/>
  <c r="M704" i="33"/>
  <c r="O704" i="33"/>
  <c r="D706" i="33"/>
  <c r="E706" i="33"/>
  <c r="F706" i="33"/>
  <c r="G706" i="33"/>
  <c r="H706" i="33"/>
  <c r="I706" i="33"/>
  <c r="J706" i="33"/>
  <c r="K706" i="33"/>
  <c r="L706" i="33"/>
  <c r="M706" i="33"/>
  <c r="O706" i="33"/>
  <c r="O707" i="33"/>
  <c r="D708" i="33"/>
  <c r="E708" i="33"/>
  <c r="F708" i="33"/>
  <c r="G708" i="33"/>
  <c r="H708" i="33"/>
  <c r="I708" i="33"/>
  <c r="J708" i="33"/>
  <c r="K708" i="33"/>
  <c r="L708" i="33"/>
  <c r="M708" i="33"/>
  <c r="O708" i="33"/>
  <c r="O709" i="33"/>
  <c r="D710" i="33"/>
  <c r="E710" i="33"/>
  <c r="F710" i="33"/>
  <c r="G710" i="33"/>
  <c r="H710" i="33"/>
  <c r="I710" i="33"/>
  <c r="J710" i="33"/>
  <c r="K710" i="33"/>
  <c r="L710" i="33"/>
  <c r="M710" i="33"/>
  <c r="O710" i="33"/>
  <c r="D712" i="33"/>
  <c r="E712" i="33"/>
  <c r="F712" i="33"/>
  <c r="G712" i="33"/>
  <c r="H712" i="33"/>
  <c r="I712" i="33"/>
  <c r="J712" i="33"/>
  <c r="K712" i="33"/>
  <c r="L712" i="33"/>
  <c r="M712" i="33"/>
  <c r="O712" i="33"/>
  <c r="D714" i="33"/>
  <c r="E714" i="33"/>
  <c r="F714" i="33"/>
  <c r="G714" i="33"/>
  <c r="H714" i="33"/>
  <c r="I714" i="33"/>
  <c r="J714" i="33"/>
  <c r="K714" i="33"/>
  <c r="L714" i="33"/>
  <c r="M714" i="33"/>
  <c r="O714" i="33"/>
  <c r="E517" i="33"/>
  <c r="F517" i="33"/>
  <c r="G517" i="33"/>
  <c r="H517" i="33"/>
  <c r="I517" i="33"/>
  <c r="J517" i="33"/>
  <c r="K517" i="33"/>
  <c r="L517" i="33"/>
  <c r="M517" i="33"/>
  <c r="N517" i="33"/>
  <c r="E519" i="33"/>
  <c r="F519" i="33"/>
  <c r="G519" i="33"/>
  <c r="H519" i="33"/>
  <c r="I519" i="33"/>
  <c r="J519" i="33"/>
  <c r="K519" i="33"/>
  <c r="L519" i="33"/>
  <c r="M519" i="33"/>
  <c r="N519" i="33"/>
  <c r="E489" i="33"/>
  <c r="N489" i="33"/>
  <c r="I489" i="33"/>
  <c r="L489" i="33"/>
  <c r="K489" i="33"/>
  <c r="O487" i="33"/>
  <c r="N487" i="33"/>
  <c r="M487" i="33"/>
  <c r="L487" i="33"/>
  <c r="K487" i="33"/>
  <c r="J487" i="33"/>
  <c r="I487" i="33"/>
  <c r="H487" i="33"/>
  <c r="G487" i="33"/>
  <c r="F487" i="33"/>
  <c r="N479" i="33"/>
  <c r="O479" i="33"/>
  <c r="I479" i="33"/>
  <c r="M479" i="33"/>
  <c r="E462" i="33"/>
  <c r="E457" i="33"/>
  <c r="E452" i="33"/>
  <c r="J237" i="33"/>
  <c r="J241" i="33"/>
  <c r="E529" i="33"/>
  <c r="F529" i="33"/>
  <c r="G529" i="33"/>
  <c r="H529" i="33"/>
  <c r="I529" i="33"/>
  <c r="J529" i="33"/>
  <c r="K529" i="33"/>
  <c r="L529" i="33"/>
  <c r="M529" i="33"/>
  <c r="N529" i="33"/>
  <c r="O529" i="33"/>
  <c r="E531" i="33"/>
  <c r="F531" i="33"/>
  <c r="G531" i="33"/>
  <c r="H531" i="33"/>
  <c r="I531" i="33"/>
  <c r="J531" i="33"/>
  <c r="K531" i="33"/>
  <c r="L531" i="33"/>
  <c r="M531" i="33"/>
  <c r="N531" i="33"/>
  <c r="O531" i="33"/>
  <c r="D782" i="33"/>
  <c r="E782" i="33"/>
  <c r="F782" i="33"/>
  <c r="G782" i="33"/>
  <c r="H782" i="33"/>
  <c r="I782" i="33"/>
  <c r="J782" i="33"/>
  <c r="K782" i="33"/>
  <c r="L782" i="33"/>
  <c r="M782" i="33"/>
  <c r="D784" i="33"/>
  <c r="D785" i="33"/>
  <c r="D787" i="33"/>
  <c r="D788" i="33"/>
  <c r="D790" i="33"/>
  <c r="D794" i="33"/>
  <c r="D797" i="33"/>
  <c r="D798" i="33"/>
  <c r="D799" i="33"/>
  <c r="D800" i="33"/>
  <c r="D802" i="33"/>
  <c r="D803" i="33"/>
  <c r="D804" i="33"/>
  <c r="D805" i="33"/>
  <c r="D810" i="33"/>
  <c r="D811" i="33"/>
  <c r="D813" i="33"/>
  <c r="F606" i="33"/>
  <c r="G606" i="33"/>
  <c r="H606" i="33"/>
  <c r="I606" i="33"/>
  <c r="J606" i="33"/>
  <c r="K606" i="33"/>
  <c r="L606" i="33"/>
  <c r="M606" i="33"/>
  <c r="N606" i="33"/>
  <c r="N604" i="33"/>
  <c r="M604" i="33"/>
  <c r="L604" i="33"/>
  <c r="K604" i="33"/>
  <c r="J604" i="33"/>
  <c r="I604" i="33"/>
  <c r="H604" i="33"/>
  <c r="G604" i="33"/>
  <c r="F604" i="33"/>
  <c r="E604" i="33"/>
  <c r="F602" i="33"/>
  <c r="G602" i="33"/>
  <c r="H602" i="33"/>
  <c r="I602" i="33"/>
  <c r="J602" i="33"/>
  <c r="K602" i="33"/>
  <c r="L602" i="33"/>
  <c r="M602" i="33"/>
  <c r="N602" i="33"/>
  <c r="N601" i="33"/>
  <c r="M601" i="33"/>
  <c r="L601" i="33"/>
  <c r="K601" i="33"/>
  <c r="J601" i="33"/>
  <c r="I601" i="33"/>
  <c r="H601" i="33"/>
  <c r="G601" i="33"/>
  <c r="F601" i="33"/>
  <c r="E601" i="33"/>
  <c r="N598" i="33"/>
  <c r="M598" i="33"/>
  <c r="L598" i="33"/>
  <c r="K598" i="33"/>
  <c r="J598" i="33"/>
  <c r="I598" i="33"/>
  <c r="H598" i="33"/>
  <c r="G598" i="33"/>
  <c r="F598" i="33"/>
  <c r="E598" i="33"/>
  <c r="N590" i="33"/>
  <c r="M590" i="33"/>
  <c r="L590" i="33"/>
  <c r="K590" i="33"/>
  <c r="J590" i="33"/>
  <c r="I590" i="33"/>
  <c r="H590" i="33"/>
  <c r="G590" i="33"/>
  <c r="F590" i="33"/>
  <c r="E590" i="33"/>
  <c r="J98" i="33"/>
  <c r="J103" i="33"/>
  <c r="I97" i="33"/>
  <c r="J97" i="33"/>
  <c r="J88" i="33"/>
  <c r="J99" i="33"/>
  <c r="J100" i="33"/>
  <c r="J101" i="33"/>
  <c r="J102" i="33"/>
  <c r="J104" i="33"/>
  <c r="J105" i="33"/>
  <c r="F250" i="33"/>
  <c r="J107" i="33"/>
  <c r="G97" i="33"/>
  <c r="G98" i="33"/>
  <c r="G99" i="33"/>
  <c r="G100" i="33"/>
  <c r="G101" i="33"/>
  <c r="G102" i="33"/>
  <c r="G104" i="33"/>
  <c r="G105" i="33"/>
  <c r="G107" i="33"/>
  <c r="J111" i="33"/>
  <c r="J112" i="33"/>
  <c r="J114" i="33"/>
  <c r="G112" i="33"/>
  <c r="G114" i="33"/>
  <c r="G49" i="33"/>
  <c r="G50" i="33"/>
  <c r="G51" i="33"/>
  <c r="F52" i="33"/>
  <c r="G52" i="33"/>
  <c r="G53" i="33"/>
  <c r="F54" i="33"/>
  <c r="G54" i="33"/>
  <c r="G56" i="33"/>
  <c r="G57" i="33"/>
  <c r="F59" i="33"/>
  <c r="F43" i="33"/>
  <c r="E161" i="33"/>
  <c r="E287" i="33"/>
  <c r="L254" i="33"/>
  <c r="K254" i="33"/>
  <c r="J253" i="33"/>
  <c r="J254" i="33"/>
  <c r="I253" i="33"/>
  <c r="I254" i="33"/>
  <c r="H254" i="33"/>
  <c r="G254" i="33"/>
  <c r="F254" i="33"/>
  <c r="E254" i="33"/>
  <c r="L247" i="33"/>
  <c r="L250" i="33"/>
  <c r="L251" i="33"/>
  <c r="K247" i="33"/>
  <c r="K250" i="33"/>
  <c r="K251" i="33"/>
  <c r="J247" i="33"/>
  <c r="J250" i="33"/>
  <c r="J251" i="33"/>
  <c r="I247" i="33"/>
  <c r="I250" i="33"/>
  <c r="I251" i="33"/>
  <c r="H247" i="33"/>
  <c r="H250" i="33"/>
  <c r="H251" i="33"/>
  <c r="G247" i="33"/>
  <c r="G250" i="33"/>
  <c r="G251" i="33"/>
  <c r="F247" i="33"/>
  <c r="F251" i="33"/>
  <c r="E237" i="33"/>
  <c r="E247" i="33"/>
  <c r="E250" i="33"/>
  <c r="E251" i="33"/>
  <c r="I249" i="33"/>
  <c r="L241" i="33"/>
  <c r="L242" i="33"/>
  <c r="L243" i="33"/>
  <c r="L245" i="33"/>
  <c r="K241" i="33"/>
  <c r="K242" i="33"/>
  <c r="K243" i="33"/>
  <c r="K245" i="33"/>
  <c r="J242" i="33"/>
  <c r="J243" i="33"/>
  <c r="J245" i="33"/>
  <c r="I241" i="33"/>
  <c r="I242" i="33"/>
  <c r="I243" i="33"/>
  <c r="I245" i="33"/>
  <c r="H241" i="33"/>
  <c r="H242" i="33"/>
  <c r="H243" i="33"/>
  <c r="H245" i="33"/>
  <c r="G241" i="33"/>
  <c r="G242" i="33"/>
  <c r="G243" i="33"/>
  <c r="G245" i="33"/>
  <c r="F245" i="33"/>
  <c r="E241" i="33"/>
  <c r="E242" i="33"/>
  <c r="E243" i="33"/>
  <c r="E245" i="33"/>
  <c r="L239" i="33"/>
  <c r="K239" i="33"/>
  <c r="J239" i="33"/>
  <c r="I239" i="33"/>
  <c r="H239" i="33"/>
  <c r="G239" i="33"/>
  <c r="F239" i="33"/>
  <c r="E239" i="33"/>
  <c r="I195" i="33"/>
  <c r="I187" i="33"/>
  <c r="I189" i="33"/>
  <c r="I190" i="33"/>
  <c r="I191" i="33"/>
  <c r="I192" i="33"/>
  <c r="I193" i="33"/>
  <c r="I176" i="33"/>
  <c r="H141" i="33"/>
  <c r="I158" i="33"/>
  <c r="I177" i="33"/>
  <c r="I159" i="33"/>
  <c r="I178" i="33"/>
  <c r="I179" i="33"/>
  <c r="I180" i="33"/>
  <c r="I181" i="33"/>
  <c r="I184" i="33"/>
  <c r="F176" i="33"/>
  <c r="F158" i="33"/>
  <c r="F177" i="33"/>
  <c r="F159" i="33"/>
  <c r="F178" i="33"/>
  <c r="F179" i="33"/>
  <c r="F180" i="33"/>
  <c r="F181" i="33"/>
  <c r="F184" i="33"/>
  <c r="I183" i="33"/>
  <c r="F183" i="33"/>
  <c r="I182" i="33"/>
  <c r="F182" i="33"/>
  <c r="I160" i="33"/>
  <c r="H161" i="33"/>
  <c r="I161" i="33"/>
  <c r="I162" i="33"/>
  <c r="I163" i="33"/>
  <c r="I164" i="33"/>
  <c r="I165" i="33"/>
  <c r="I166" i="33"/>
  <c r="F160" i="33"/>
  <c r="F161" i="33"/>
  <c r="F162" i="33"/>
  <c r="F163" i="33"/>
  <c r="F164" i="33"/>
  <c r="F165" i="33"/>
  <c r="F166" i="33"/>
  <c r="I149" i="33"/>
  <c r="E140" i="33"/>
  <c r="I150" i="33"/>
  <c r="I151" i="33"/>
  <c r="I153" i="33"/>
  <c r="I154" i="33"/>
  <c r="I155" i="33"/>
  <c r="F149" i="33"/>
  <c r="F154" i="33"/>
  <c r="F155" i="33"/>
  <c r="G123" i="33"/>
  <c r="G124" i="33"/>
  <c r="G125" i="33"/>
  <c r="J87" i="33"/>
  <c r="J117" i="33"/>
  <c r="J118" i="33"/>
  <c r="J119" i="33"/>
  <c r="J120" i="33"/>
  <c r="G117" i="33"/>
  <c r="G89" i="33"/>
  <c r="G118" i="33"/>
  <c r="G119" i="33"/>
  <c r="G120" i="33"/>
  <c r="J113" i="33"/>
  <c r="G113" i="33"/>
  <c r="J106" i="33"/>
  <c r="G106" i="33"/>
  <c r="J89" i="33"/>
  <c r="J90" i="33"/>
  <c r="J92" i="33"/>
  <c r="J93" i="33"/>
  <c r="J94" i="33"/>
  <c r="G93" i="33"/>
  <c r="G94" i="33"/>
  <c r="G69" i="33"/>
  <c r="G70" i="33"/>
  <c r="G71" i="33"/>
  <c r="J49" i="33"/>
  <c r="J39" i="33"/>
  <c r="J62" i="33"/>
  <c r="J40" i="33"/>
  <c r="J63" i="33"/>
  <c r="J65" i="33"/>
  <c r="J66" i="33"/>
  <c r="G62" i="33"/>
  <c r="G40" i="33"/>
  <c r="G41" i="33"/>
  <c r="G63" i="33"/>
  <c r="G65" i="33"/>
  <c r="G66" i="33"/>
  <c r="F58" i="33"/>
  <c r="J51" i="33"/>
  <c r="J52" i="33"/>
  <c r="J53" i="33"/>
  <c r="J54" i="33"/>
  <c r="J55" i="33"/>
  <c r="J56" i="33"/>
  <c r="J57" i="33"/>
  <c r="J41" i="33"/>
  <c r="J43" i="33"/>
  <c r="J44" i="33"/>
  <c r="J45" i="33"/>
  <c r="J46" i="33"/>
  <c r="G44" i="33"/>
  <c r="G45" i="33"/>
  <c r="G46" i="33"/>
  <c r="J42" i="33"/>
  <c r="F340" i="33"/>
  <c r="G340" i="33"/>
  <c r="H340" i="33"/>
  <c r="E342" i="33"/>
  <c r="F346" i="33"/>
  <c r="F343" i="33"/>
  <c r="G346" i="33"/>
  <c r="G343" i="33"/>
  <c r="H346" i="33"/>
  <c r="H343" i="33"/>
  <c r="E345" i="33"/>
  <c r="F345" i="33"/>
  <c r="G345" i="33"/>
  <c r="E348" i="33"/>
  <c r="E346" i="33"/>
  <c r="F348" i="33"/>
  <c r="G349" i="33"/>
  <c r="H349" i="33"/>
  <c r="E350" i="33"/>
  <c r="F350" i="33"/>
  <c r="G350" i="33"/>
  <c r="E364" i="33"/>
  <c r="F364" i="33"/>
  <c r="G364" i="33"/>
  <c r="H364" i="33"/>
  <c r="E365" i="33"/>
  <c r="F365" i="33"/>
  <c r="G365" i="33"/>
  <c r="H365" i="33"/>
  <c r="E367" i="33"/>
  <c r="F367" i="33"/>
  <c r="G367" i="33"/>
  <c r="H367" i="33"/>
  <c r="E368" i="33"/>
  <c r="F368" i="33"/>
  <c r="G368" i="33"/>
  <c r="H368" i="33"/>
  <c r="C391" i="33"/>
  <c r="F391" i="33"/>
  <c r="G391" i="33"/>
  <c r="H391" i="33"/>
  <c r="C393" i="33"/>
  <c r="E393" i="33"/>
  <c r="C394" i="33"/>
  <c r="F397" i="33"/>
  <c r="F394" i="33"/>
  <c r="G397" i="33"/>
  <c r="G394" i="33"/>
  <c r="H397" i="33"/>
  <c r="H394" i="33"/>
  <c r="C396" i="33"/>
  <c r="E396" i="33"/>
  <c r="F396" i="33"/>
  <c r="G396" i="33"/>
  <c r="H396" i="33"/>
  <c r="C397" i="33"/>
  <c r="E397" i="33"/>
  <c r="C399" i="33"/>
  <c r="F399" i="33"/>
  <c r="G400" i="33"/>
  <c r="H400" i="33"/>
  <c r="C401" i="33"/>
  <c r="E401" i="33"/>
  <c r="F401" i="33"/>
  <c r="G401" i="33"/>
  <c r="H401" i="33"/>
  <c r="E417" i="33"/>
  <c r="F417" i="33"/>
  <c r="G417" i="33"/>
  <c r="H417" i="33"/>
  <c r="E418" i="33"/>
  <c r="F418" i="33"/>
  <c r="G418" i="33"/>
  <c r="H418" i="33"/>
  <c r="C420" i="33"/>
  <c r="E420" i="33"/>
  <c r="F420" i="33"/>
  <c r="G420" i="33"/>
  <c r="H420" i="33"/>
  <c r="C421" i="33"/>
  <c r="E421" i="33"/>
  <c r="F421" i="33"/>
  <c r="G421" i="33"/>
  <c r="H421" i="33"/>
  <c r="G283" i="33"/>
  <c r="G287" i="33"/>
  <c r="G289" i="33"/>
  <c r="G291" i="33"/>
  <c r="G292" i="33"/>
  <c r="G293" i="33"/>
  <c r="E524" i="33"/>
  <c r="E523" i="33"/>
  <c r="N520" i="33"/>
  <c r="M520" i="33"/>
  <c r="L520" i="33"/>
  <c r="K520" i="33"/>
  <c r="J520" i="33"/>
  <c r="I520" i="33"/>
  <c r="H520" i="33"/>
  <c r="G520" i="33"/>
  <c r="F520" i="33"/>
  <c r="E520" i="33"/>
</calcChain>
</file>

<file path=xl/sharedStrings.xml><?xml version="1.0" encoding="utf-8"?>
<sst xmlns="http://schemas.openxmlformats.org/spreadsheetml/2006/main" count="819" uniqueCount="597">
  <si>
    <t>Marketing</t>
  </si>
  <si>
    <t>Origination</t>
  </si>
  <si>
    <t>Underwriting</t>
  </si>
  <si>
    <t>Closing</t>
  </si>
  <si>
    <t>Monitoring</t>
  </si>
  <si>
    <t>Total Costs</t>
  </si>
  <si>
    <t>Total Loans</t>
  </si>
  <si>
    <t xml:space="preserve">   Total Expenses </t>
  </si>
  <si>
    <t>Return on Equity</t>
  </si>
  <si>
    <t>Equity</t>
  </si>
  <si>
    <t>ROE</t>
  </si>
  <si>
    <t>Total Assets</t>
  </si>
  <si>
    <t>X</t>
  </si>
  <si>
    <t>Agency</t>
  </si>
  <si>
    <t xml:space="preserve">Operating Cost </t>
  </si>
  <si>
    <t>Credit Losses</t>
  </si>
  <si>
    <t>Total Expenses</t>
  </si>
  <si>
    <t>Revenue</t>
  </si>
  <si>
    <t>Liquidity</t>
  </si>
  <si>
    <t>Global Credit Express</t>
  </si>
  <si>
    <t>Volume</t>
  </si>
  <si>
    <t>CDFI Fund</t>
  </si>
  <si>
    <t>DAY 1</t>
  </si>
  <si>
    <t>Detail</t>
  </si>
  <si>
    <t>Content</t>
  </si>
  <si>
    <t>Lectures</t>
  </si>
  <si>
    <t>60 minutes</t>
  </si>
  <si>
    <t>Operating Costs</t>
  </si>
  <si>
    <t>7 operating functions in lending</t>
  </si>
  <si>
    <t>Delinqencies, Charge-offs and Recoveries</t>
  </si>
  <si>
    <t>Standard definitions and actions</t>
  </si>
  <si>
    <t>Restructures and modifications</t>
  </si>
  <si>
    <t>Examples of abuse, how to manage</t>
  </si>
  <si>
    <t>The Loss Curve</t>
  </si>
  <si>
    <t>Risk Rating</t>
  </si>
  <si>
    <t>Loss Reserves</t>
  </si>
  <si>
    <t>How to calculate the loan balance, provision, loss reserve</t>
  </si>
  <si>
    <t>Interactive</t>
  </si>
  <si>
    <t>45 minutes</t>
  </si>
  <si>
    <t xml:space="preserve">2. Excessive Operating Cost </t>
  </si>
  <si>
    <t>75 minutes</t>
  </si>
  <si>
    <t>Net Present Value</t>
  </si>
  <si>
    <t>Cash flows</t>
  </si>
  <si>
    <t>Discount rates</t>
  </si>
  <si>
    <t>What factors (risk, cost, volatility, uncertainties etc.) are used to establish discount rates</t>
  </si>
  <si>
    <t xml:space="preserve">Risk and Return </t>
  </si>
  <si>
    <t>Market Discount Rates</t>
  </si>
  <si>
    <t>All investments have equity holders</t>
  </si>
  <si>
    <t xml:space="preserve">Demonstration of how the equity component of the investment is driven by costs, uncertainties </t>
  </si>
  <si>
    <t>Pricing for risk</t>
  </si>
  <si>
    <t>How the private sector prices for risk</t>
  </si>
  <si>
    <t>Mandated Treasury discount rates</t>
  </si>
  <si>
    <t>Subsidy calculations and Re-estimates</t>
  </si>
  <si>
    <t>DAY 2</t>
  </si>
  <si>
    <t>The attributes that determine the funding cost</t>
  </si>
  <si>
    <t>Risk profile</t>
  </si>
  <si>
    <t>The attributes that determine the subsidy and a portion of the administrative budget</t>
  </si>
  <si>
    <t>Operating cost</t>
  </si>
  <si>
    <t>The functions that determine the bulk of the administrative budget</t>
  </si>
  <si>
    <t>Benefit to the borrower</t>
  </si>
  <si>
    <t>Risks/Economics of delivery platforms</t>
  </si>
  <si>
    <t>Grants</t>
  </si>
  <si>
    <t>Tax credits</t>
  </si>
  <si>
    <t>Direct Loans</t>
  </si>
  <si>
    <t>Credit Guarantees</t>
  </si>
  <si>
    <t>Deposit (Liability) Guarantee</t>
  </si>
  <si>
    <t>2. Best credit product</t>
  </si>
  <si>
    <t>3. Best delivery platform</t>
  </si>
  <si>
    <t>Essential purpose</t>
  </si>
  <si>
    <t>Performance metrics</t>
  </si>
  <si>
    <t>Tracking the portfolio</t>
  </si>
  <si>
    <t>Trend line analysis</t>
  </si>
  <si>
    <t>Using an example to interpret changes in portfolio risk and cost over 5-7 year period</t>
  </si>
  <si>
    <t>Comparative Analysis</t>
  </si>
  <si>
    <t>Indication of agency role/niche in the market</t>
  </si>
  <si>
    <t>Benchmarking</t>
  </si>
  <si>
    <t>Strategic improvement</t>
  </si>
  <si>
    <t xml:space="preserve">45 minutes </t>
  </si>
  <si>
    <t>1. Establishing the credit gap</t>
  </si>
  <si>
    <t>3. Evaluating relevance</t>
  </si>
  <si>
    <t>Case Study comparing agency activity with private sector activity</t>
  </si>
  <si>
    <t xml:space="preserve">Unit Cost </t>
  </si>
  <si>
    <t>Calculations</t>
  </si>
  <si>
    <t>Comparative analysis: agency versus banks</t>
  </si>
  <si>
    <t>Identifying which factors differentiate the agency from the private sector in terms of cost</t>
  </si>
  <si>
    <t>What Private Partners Can Add</t>
  </si>
  <si>
    <t>Extend agency reach and impact</t>
  </si>
  <si>
    <t>Agencies have market, regulatory and resource constraints that can be mediated by public private partnerships</t>
  </si>
  <si>
    <t>Efficient access</t>
  </si>
  <si>
    <t>Private partners are in the market, have expertise and can reduce costs for the agency while accelerating delivery</t>
  </si>
  <si>
    <t>What Private Partners Want</t>
  </si>
  <si>
    <t>ROE Equation</t>
  </si>
  <si>
    <t>Incentives</t>
  </si>
  <si>
    <t>Calculating the allocation of subsidy</t>
  </si>
  <si>
    <t>Criteria for allocation</t>
  </si>
  <si>
    <t>Examples that show circumstances under which different allocation configurations are appropriate to the mission</t>
  </si>
  <si>
    <t>Managing Risk</t>
  </si>
  <si>
    <t>Adverse selection</t>
  </si>
  <si>
    <t>Conflicts of interest - "regulatory capture"</t>
  </si>
  <si>
    <t>Alteration of the mission, strategy, regulations to accommodate partner needs</t>
  </si>
  <si>
    <t>Early warnings metrics</t>
  </si>
  <si>
    <t>Identification of the key indications of accelerating risk and/or financial deterioration in partner portfolios</t>
  </si>
  <si>
    <t>Graduated system of remediation</t>
  </si>
  <si>
    <t>Interactive session</t>
  </si>
  <si>
    <t>Credit Gtys</t>
  </si>
  <si>
    <t>Deposit Gtys</t>
  </si>
  <si>
    <t xml:space="preserve">Contingent Liability </t>
  </si>
  <si>
    <t>SBA 7a</t>
  </si>
  <si>
    <t>FDIC</t>
  </si>
  <si>
    <t>Disaster Loan</t>
  </si>
  <si>
    <t>Dollars expended due to bad loans</t>
  </si>
  <si>
    <t>Maximum loans outstanding</t>
  </si>
  <si>
    <t>Indicative Examples</t>
  </si>
  <si>
    <t>Loans made over 14 years</t>
  </si>
  <si>
    <t xml:space="preserve">Credit loss rate </t>
  </si>
  <si>
    <t xml:space="preserve">Servicing </t>
  </si>
  <si>
    <t>Workout Termination</t>
  </si>
  <si>
    <t>Weak</t>
  </si>
  <si>
    <t>Strong</t>
  </si>
  <si>
    <t xml:space="preserve">Federal Control </t>
  </si>
  <si>
    <t xml:space="preserve">In this simplified example, the guaranteed deposits belong to  a lending entity with 8% capital which covers the 4% loss. </t>
  </si>
  <si>
    <t>Administrative Cost</t>
  </si>
  <si>
    <t>Low</t>
  </si>
  <si>
    <t>Very high</t>
  </si>
  <si>
    <t>Modest</t>
  </si>
  <si>
    <t>Interest</t>
  </si>
  <si>
    <t>Fees</t>
  </si>
  <si>
    <t>Funding cost</t>
  </si>
  <si>
    <t>Total Revenues</t>
  </si>
  <si>
    <t>Agency net revenues</t>
  </si>
  <si>
    <t>Intermediary</t>
  </si>
  <si>
    <t>Intermediary net revenues</t>
  </si>
  <si>
    <t>Alternative Interest</t>
  </si>
  <si>
    <t>Alternative Fees</t>
  </si>
  <si>
    <t>Total Alternative Cost</t>
  </si>
  <si>
    <t>Actual Interest Expense</t>
  </si>
  <si>
    <t>Actual Fee Expense</t>
  </si>
  <si>
    <t>Actual Other Costs</t>
  </si>
  <si>
    <t>Fees received</t>
  </si>
  <si>
    <t>Loan Size</t>
  </si>
  <si>
    <t>Pretax ROE</t>
  </si>
  <si>
    <t>Pretax ROA</t>
  </si>
  <si>
    <t>Ex-Im Working Capital Program</t>
  </si>
  <si>
    <t>Credit Card</t>
  </si>
  <si>
    <t>Size of the Project</t>
  </si>
  <si>
    <t xml:space="preserve">Size of the Tax Credit </t>
  </si>
  <si>
    <t>Grant</t>
  </si>
  <si>
    <t xml:space="preserve">Credit Losses </t>
  </si>
  <si>
    <t>Project Developer</t>
  </si>
  <si>
    <t>Regular Bank Loan</t>
  </si>
  <si>
    <t>Other (Fee to SBA)</t>
  </si>
  <si>
    <t xml:space="preserve">Borrower </t>
  </si>
  <si>
    <t>flat</t>
  </si>
  <si>
    <t xml:space="preserve">Other </t>
  </si>
  <si>
    <t>ROA</t>
  </si>
  <si>
    <t>Infinite</t>
  </si>
  <si>
    <t>Borrower Net Cost</t>
  </si>
  <si>
    <t>Intermediary net operating revenues</t>
  </si>
  <si>
    <t>Gain/(Loss) on Sale of Gty</t>
  </si>
  <si>
    <t>NMTC Structured Loan</t>
  </si>
  <si>
    <t>PV of NMTC</t>
  </si>
  <si>
    <t>Debt Incurred</t>
  </si>
  <si>
    <t xml:space="preserve">Mkt Price </t>
  </si>
  <si>
    <t>Conventional Development Loan</t>
  </si>
  <si>
    <t>Funds available for construction</t>
  </si>
  <si>
    <t>Intermediary (Bank)</t>
  </si>
  <si>
    <t xml:space="preserve">   Total Revenues</t>
  </si>
  <si>
    <t>Tax Credit Investor</t>
  </si>
  <si>
    <t>Interest received (NMTC B Note)</t>
  </si>
  <si>
    <t>Operating Expenses (Fees)</t>
  </si>
  <si>
    <t xml:space="preserve">   Total Costs</t>
  </si>
  <si>
    <t>Gain/Loss on Purchase of Credits</t>
  </si>
  <si>
    <t>Developer net revenues</t>
  </si>
  <si>
    <t>Investor net revenues</t>
  </si>
  <si>
    <t>The NMTCs are awarded at a rate of 39 cents on the dollar of investment. They are awarded over a 7 year period resulting in a present value of $3.1mm. Banks will pay 80-95 cents on the dollar in cash for them. In this example: 93.5 cents</t>
  </si>
  <si>
    <t>The operating cost represents the cost of underwriting the Agency application</t>
  </si>
  <si>
    <t>This is a Treasury based interest rate, and the interest expense is incurred by the reduction of tax revenue annually once the TCs are fully used.</t>
  </si>
  <si>
    <t xml:space="preserve">The NMTC Loan is broken down into two parts: a senior loan ("A") for $7mm and a quasi-equity loan ("B") of $3.0mm. Loan B is funded by the purchase of the tax credits, and the proceeds are transferred to the developer at the end of the 7 year term, typically for $1,000. </t>
  </si>
  <si>
    <t>Interest (Sr &amp; Sub Debt/NMTC Note A)</t>
  </si>
  <si>
    <t>The operating cost is lower for the NMTC option because some of the costs are being picked up by the investor</t>
  </si>
  <si>
    <t>In this case, the bank is exposed to loss in its subordinated note in the conventional loan, but that same credit risk is absorbed by the investor in the NMTC loan</t>
  </si>
  <si>
    <t>With the NMTC, the Project Developer in this case is also paying interest on the quasi-equity "B" Note held by the Tax Credit Investor</t>
  </si>
  <si>
    <t>These are paid to the Intermediary Bank</t>
  </si>
  <si>
    <t>The NMTC option carries more legal and accounting costs</t>
  </si>
  <si>
    <t>In this case, the Project Developer is the umbrella term for the various entities involved in purchasing, building, leasing and/or otherwise managing the property. The collective target is a net return on assets of @ 1.5%.</t>
  </si>
  <si>
    <t xml:space="preserve">This example Of an NMTC loan effectively takes the element of risk out of the transaction, thereby freeing up and additional $250,000 for construction and other project costs. </t>
  </si>
  <si>
    <t xml:space="preserve">Workbook Module 6, 12: Detail </t>
  </si>
  <si>
    <t>BRB</t>
  </si>
  <si>
    <t xml:space="preserve">Because the $500k loan is smaller than the bank's average loan, the operating cost is higher </t>
  </si>
  <si>
    <t>This is the loss rate for loans with a 200 SBA credit score</t>
  </si>
  <si>
    <t>Defining the Mission</t>
  </si>
  <si>
    <t>Matching outcomes data/metrics with data/metrics used to establish the credit gap and consequent mission objectives</t>
  </si>
  <si>
    <t>Case Study on how to use the metrics in planning, budget submission, justification, GPRA</t>
  </si>
  <si>
    <t>Workbook Modules 2, 3, 4, 5</t>
  </si>
  <si>
    <t>Identification and analysis of the key tools for agencies in promoting public private partnerships. Revisit balancing benefits</t>
  </si>
  <si>
    <t>Workbook Modules 1, 9, 10, 12</t>
  </si>
  <si>
    <t>Workbook Modules 7, and 8</t>
  </si>
  <si>
    <t>3. Financial Condition</t>
  </si>
  <si>
    <t>What are the indicators in the market that determine the kind of credit and service to be provided?</t>
  </si>
  <si>
    <t>What is the stated mission of the Agency/Program</t>
  </si>
  <si>
    <t xml:space="preserve">What are the indicators in the market that determine the kind of constituent to be served by the mission? </t>
  </si>
  <si>
    <t>The market terrain</t>
  </si>
  <si>
    <t xml:space="preserve">Are there other providers of credit and what are their lending parameters? </t>
  </si>
  <si>
    <t>Submission, Justification, GPRA</t>
  </si>
  <si>
    <t>Portfolio parameters and allocations</t>
  </si>
  <si>
    <t>Size, range of credit risk, term, demographics, industry concentration</t>
  </si>
  <si>
    <t>Size, rate, term, amortization</t>
  </si>
  <si>
    <t>Use of the NPV function to calculate benefits to the agency, the borrower and the partner</t>
  </si>
  <si>
    <t>Calculating the subsidy</t>
  </si>
  <si>
    <t>Two lines of calculations: (i) federal budget subsidy and admin costs; and (ii) the actual financial benefits to the participants</t>
  </si>
  <si>
    <t>Example of a risk rating system and credit audit function</t>
  </si>
  <si>
    <t>Using comparative metrics from the private sector to make agency operations more efficient and effective</t>
  </si>
  <si>
    <t>Sharing of functions: other agencies, third parties</t>
  </si>
  <si>
    <t>Typical factors that curtail credit access</t>
  </si>
  <si>
    <t xml:space="preserve">Key determinants in access to credit: small size, personal touch (risk), due diligence, etc. What is it for your agency? </t>
  </si>
  <si>
    <t xml:space="preserve">Marketing, origination, underwriting, closing, servicing, monitoring, termination. Which are strong suits for your agency? </t>
  </si>
  <si>
    <t xml:space="preserve">Third party vendors, other agencies, cost savings versus control. Has your agency contracted functions out successfully? </t>
  </si>
  <si>
    <t>Establishing the annual cost per loan and the cost of the key component parts of the loan</t>
  </si>
  <si>
    <t>Constraints on strategic actions</t>
  </si>
  <si>
    <t>Meeting the challenge of monetization of assets, operating cost reduction, risk diversification, other crucial portfolio strategies</t>
  </si>
  <si>
    <t>Case Study: How a credit gap of national importance is identified, and what metrics are used to demonstrate program effectiveness in addressing it</t>
  </si>
  <si>
    <t>Problem: Given a budget subsidy and administrative cost, calculate the financial benefits to the agency, lending partner and borrower</t>
  </si>
  <si>
    <t>Problem: Develop the best product to fit the gap -- assuming that there is one</t>
  </si>
  <si>
    <t>How the budget subsidy is calculated and managed. Examples from several agencies</t>
  </si>
  <si>
    <t>Timing of defaults for different credit risks and credit asset classes</t>
  </si>
  <si>
    <t>Developing a practical solution</t>
  </si>
  <si>
    <t>The Mission guidelines</t>
  </si>
  <si>
    <t>Key concepts:  (a) filling the credit gap; (b) not competing with the private sector; and (c) priming the pump for the private sector</t>
  </si>
  <si>
    <t>Data that shows (a) market/constituent conditions; (b) private sector activity; and (c) agency program outcomes</t>
  </si>
  <si>
    <t>Case Study on how an agency converts its mission into metrics that guide the programs and also justify it</t>
  </si>
  <si>
    <t>Metrics that form the logical case for the subsidy and the administrative requests</t>
  </si>
  <si>
    <t>Determination of the extent to which the product solves the problem -- together with the trade-offs</t>
  </si>
  <si>
    <t>Some missions require more federal footprint, others benefit from more private involvement. The platforms are designed to be responsive to the distinction. Each delivery method is evaluated and compared in terms of: structure, subsidy cost, administrative cost, magnitude of obligation, difficulty of management, need for partnership, level of control, extent of mission impact and similar attributes. Where possible we show how the subsidy may be different despite being for the same target constituency</t>
  </si>
  <si>
    <t>Examples of cash flows from different credit asset classes</t>
  </si>
  <si>
    <t>Examples of how the discount rates change in relation to changes in the key program attributes and market factors</t>
  </si>
  <si>
    <t>The key performance indicators for any credit portfolio: measures from FCRA and standard institutional GAAP</t>
  </si>
  <si>
    <t>1. Calculating Unit Cost</t>
  </si>
  <si>
    <t>Problem: calculating the unit cost for one program at your agency</t>
  </si>
  <si>
    <t>Problem: Find the point at which loans of different sizes and risk go from profit to loss for a bank, and from private sector compatible to federal agency credit gap</t>
  </si>
  <si>
    <t>Case Study:  using metrics over a set time period to evaluate the efficiency and effectiveness of agency performance</t>
  </si>
  <si>
    <t xml:space="preserve">This should be the history of the FCRA , the outline of the issues, and summary of the OMB circulars </t>
  </si>
  <si>
    <t>Corporate finance tools for the identification and analysis of the key objectives of private sector credit partners</t>
  </si>
  <si>
    <t>It’s a given with both the constituency and the partners. Understanding the moral hazard and managing it</t>
  </si>
  <si>
    <t>Systematic guidelines for early intervention with deteriorating to mitigate agency losses and mission abuse</t>
  </si>
  <si>
    <t>Comparison of agency portfolio performance with private sector credit portfolios using the mission metrics</t>
  </si>
  <si>
    <t>Agency portfolio relative to private sector portfolio; relevance of programs to changing market conditions and annual goals</t>
  </si>
  <si>
    <t>1. Partnership value proposition</t>
  </si>
  <si>
    <t>Case Studies: examples of the financial benefits deriving from different configurations of public/private partnerships</t>
  </si>
  <si>
    <t xml:space="preserve">Case Study of an failing lending institution: which are the most conclusive indicators and what steps should be taken when to minimize loss? </t>
  </si>
  <si>
    <t>3. Partnership failure</t>
  </si>
  <si>
    <t>2. Partnership benefits abuse</t>
  </si>
  <si>
    <t>Problems: how to identify appropriate range of compensation for the partner</t>
  </si>
  <si>
    <t>Case Study: the participants will be asked to use the tools that have been introduced to establish a small business lending program that targets entrepreneurs in low income communities, including up to 20% volume in start-ups. They will be asked to develop a program that has the least amount of budget authority and administrative cost, and to explain which tools they used to minimize unforeseen costs and risk and to achieve their targeted outcomes. The best answer will necessarily involve fair market value calculation, risk/return calculation, third party functions, asset sales, allocation of subsidy, etc. MIT will provide the software for facilitating the calculations</t>
  </si>
  <si>
    <t xml:space="preserve">Workbook Modules 1, 11, 13, 14: Detail </t>
  </si>
  <si>
    <t>Ratio of Capital to Assets</t>
  </si>
  <si>
    <t>Interest Expense</t>
  </si>
  <si>
    <t>Operating Expense</t>
  </si>
  <si>
    <t>Loss Expense</t>
  </si>
  <si>
    <t>Loss Expense (90% guarantee)</t>
  </si>
  <si>
    <t>Loss Expense (10% unguaranteed)</t>
  </si>
  <si>
    <t>Loss Expense (75% guarantee)</t>
  </si>
  <si>
    <t>Loss Expense (25% unguaranteed)</t>
  </si>
  <si>
    <t>ROE (with equity at 15%)</t>
  </si>
  <si>
    <t>The Summary Expenses of Lending 2014</t>
  </si>
  <si>
    <t>Loan Revenues to Assets</t>
  </si>
  <si>
    <t>Interest Expense to Assets</t>
  </si>
  <si>
    <t>Operating Expense to Assets</t>
  </si>
  <si>
    <t>Loss Expense to Assets</t>
  </si>
  <si>
    <t>Net Profit After Tax to Assets</t>
  </si>
  <si>
    <t>(000's)</t>
  </si>
  <si>
    <t>Collateral</t>
  </si>
  <si>
    <t>As presently structured with the deposit guarantee, the regulator has minimal direct control over a loan. When it becomes impaired -- and the regulator becomes aware of it -- considerable force can be brought to bear on the lender to take a certain course of action, but the control remains indirect: "the horse is out of the barn."</t>
  </si>
  <si>
    <t>Total Equity</t>
  </si>
  <si>
    <t xml:space="preserve">Size of Deal </t>
  </si>
  <si>
    <t>Regulation</t>
  </si>
  <si>
    <t>Went public in 2014: 700% TA growth in 3 yrs</t>
  </si>
  <si>
    <t xml:space="preserve">Financing Cost </t>
  </si>
  <si>
    <t>x</t>
  </si>
  <si>
    <t>How these factors affect the private sector lender</t>
  </si>
  <si>
    <t>Capital Requirement</t>
  </si>
  <si>
    <t xml:space="preserve">Notably, every attribute of lending transaction affects the lender's Return on Equity. We shall see how these attributes play out for a range of different lenders, and why they may or may not be inclined to provide credit to certain sectors in the marketplace at any point in time. Conversely, we may also see how changes in the market and/or their capacity may prompt them to open up to these sectors at other times. It must be kept in mind, however, that these are simply broad estimates to gauge where the lenders are. They are in no way precise or conclusive. </t>
  </si>
  <si>
    <t>Note: due to the need to simplify, the NPAT is not intended to reconcile to Revenues minus Total Expenses</t>
  </si>
  <si>
    <t>Delinquency Rate</t>
  </si>
  <si>
    <t>Business Loan Assets</t>
  </si>
  <si>
    <t>This cost is the same for all products at the bank</t>
  </si>
  <si>
    <t>Capital to Assets</t>
  </si>
  <si>
    <t>The ROE on this loan type is lower than the existing ROE so the lender has no motivation to participate.</t>
  </si>
  <si>
    <t>In order to cover the additional risk, the interest rate must be increased</t>
  </si>
  <si>
    <t>"Quick and Dirty" Unit Cost Analysis</t>
  </si>
  <si>
    <t>(The revenue includes $7.1mm in grants)</t>
  </si>
  <si>
    <t xml:space="preserve">What are the primary price drivers of a lending product? </t>
  </si>
  <si>
    <t xml:space="preserve">The price of a credit product is affected by a wide range of factors: competition, borrower capacity, demand -- and the cost to provide it. In determining whether a product can be rolled out, it is important to see first what it will cost. Once that has been established, the lender can determine how much flexibility there is in meeting borrower need and competitive pressures. </t>
  </si>
  <si>
    <t xml:space="preserve">In this example, the BRB small business loan segment might be attractive to the bank if the interest rate is raised at least to 9.0%. That is to allow for the uncertainties associated with going into a new credit segment, plus an underlying goal of generating a higher ROE than that which the lender is currently generating. But the lender will want to be sure that this higher rate is low enough to be: (a) affordable for the borrower; and (b) competitive with other lenders. The issue of competitiveness is critical: banks do not generally gravitate to "one-off" deals because of the higher cost to do them. Moreover it is hard to generate ongoing loan volume with customized transactions. These both are of particular concern in the small business arena, where growth is essential to cover the cost of what is essentially a specialized and expensive discipline. </t>
  </si>
  <si>
    <t>While not conclusive, this "back of the napkin" kind of analysis can help the agency perform two critical functions: (i) identify the financial metrics that indicate the credit gap and provide indicators of how to structure the federal product solution;  and (ii) identify what financial goals must be achieved before the target constituency is ready to be guided back to a private sector solution.</t>
  </si>
  <si>
    <t>Return on Equity/Subsidy</t>
  </si>
  <si>
    <t xml:space="preserve">A Bank would not typically make both the senior and the subordinated loan but for this example it is assumed that one bank does both. </t>
  </si>
  <si>
    <t>The $3.9mm is the notional dollar value of the Tax Credits awarded over a 7 year period</t>
  </si>
  <si>
    <t>30 minutes</t>
  </si>
  <si>
    <t>Module 5. Understanding Private Partners</t>
  </si>
  <si>
    <t>Lunch: Discussion of A-11, A-123 and A-129</t>
  </si>
  <si>
    <t>Module 4. Costs: Operations and Credit</t>
  </si>
  <si>
    <t>Case Study: Participants take a negative subsidy program and make it neutral, allocate the reduced benefit, and then determine the impact on the mission objectives</t>
  </si>
  <si>
    <t xml:space="preserve">3. Zero Subsidy </t>
  </si>
  <si>
    <t xml:space="preserve">Case Study: Valuation of a mortgage portfolio using FCRA and Fair Value. Should we sell? Can we sell? </t>
  </si>
  <si>
    <t>2. Asset Sale</t>
  </si>
  <si>
    <t>Problem: Participants calculate the net present value of the cash flows from a portfolio of student loans under different interest rate and credit risk scenarios</t>
  </si>
  <si>
    <t>1. Raising, lowering the subsidy</t>
  </si>
  <si>
    <t>Optionality, one-sided bets</t>
  </si>
  <si>
    <t xml:space="preserve">The components and uses of the Treasury discount rates. What is your discount rate, and why? </t>
  </si>
  <si>
    <t>The purpose and rationale</t>
  </si>
  <si>
    <t xml:space="preserve">What does it mean? </t>
  </si>
  <si>
    <t>Credit Subsidy</t>
  </si>
  <si>
    <t>Yile Curve, volatility, risk premiums</t>
  </si>
  <si>
    <t>Key dynamics</t>
  </si>
  <si>
    <t xml:space="preserve">Short and Long term debt instruments, the stock market. </t>
  </si>
  <si>
    <t>Definitions</t>
  </si>
  <si>
    <t>The Money and Capital Markets</t>
  </si>
  <si>
    <t>Module 3. Costs: Valuation and Subsidy</t>
  </si>
  <si>
    <t xml:space="preserve">What does this product do that is not being done by the private sector? </t>
  </si>
  <si>
    <t xml:space="preserve">What makes a good or bad product? </t>
  </si>
  <si>
    <t>Product Suitability</t>
  </si>
  <si>
    <t>Module 1. Program Objectives</t>
  </si>
  <si>
    <t xml:space="preserve">What are the costs? </t>
  </si>
  <si>
    <t>Another problem -- too much to little? How lax should</t>
  </si>
  <si>
    <t xml:space="preserve">Flash a list of the metrics but not talk through it. </t>
  </si>
  <si>
    <t>Overview of the course</t>
  </si>
  <si>
    <t>Planning budgeting and Reporting</t>
  </si>
  <si>
    <t xml:space="preserve">Chief considerations: gaps, costs </t>
  </si>
  <si>
    <t xml:space="preserve">Chief considerations </t>
  </si>
  <si>
    <t xml:space="preserve">Metrics </t>
  </si>
  <si>
    <t>Two parts: Mission. Metrics</t>
  </si>
  <si>
    <t>Only 2</t>
  </si>
  <si>
    <r>
      <t xml:space="preserve">1. Quantifying the </t>
    </r>
    <r>
      <rPr>
        <sz val="10"/>
        <color rgb="FFFF0000"/>
        <rFont val="Calibri"/>
        <family val="2"/>
        <scheme val="minor"/>
      </rPr>
      <t>Mission</t>
    </r>
  </si>
  <si>
    <r>
      <t>2. Using the</t>
    </r>
    <r>
      <rPr>
        <sz val="10"/>
        <color rgb="FFFF0000"/>
        <rFont val="Calibri"/>
        <family val="2"/>
        <scheme val="minor"/>
      </rPr>
      <t xml:space="preserve"> Metrics</t>
    </r>
  </si>
  <si>
    <t>Evaluating subsidies</t>
  </si>
  <si>
    <t xml:space="preserve">High level </t>
  </si>
  <si>
    <t>Module 2. Formulating a Platform and a Product</t>
  </si>
  <si>
    <t xml:space="preserve">Three big ideas for every module </t>
  </si>
  <si>
    <t xml:space="preserve">These are possible approaches to the </t>
  </si>
  <si>
    <t xml:space="preserve">Default delinquency and recovery. </t>
  </si>
  <si>
    <t xml:space="preserve">change the last interactive session -- groups work together: </t>
  </si>
  <si>
    <t>Add FEMA 0 indusreance and community laons</t>
  </si>
  <si>
    <t xml:space="preserve">breakout tables for each of the major issues. Give them a public policy challenges your mission is to tive this and you do this -- maortgage product . List of questions. </t>
  </si>
  <si>
    <t>Federal $ expended in the future</t>
  </si>
  <si>
    <t>Federal  $ expended this year</t>
  </si>
  <si>
    <t>Federal Dollars committed</t>
  </si>
  <si>
    <t>Total federal $ expended</t>
  </si>
  <si>
    <t>$ Assets on federal balance sheet</t>
  </si>
  <si>
    <t>Total dollars expended (not incl admin)</t>
  </si>
  <si>
    <t>Dollars expended % to Loans made</t>
  </si>
  <si>
    <t xml:space="preserve">Where the federal commitment comes in the form of a grant or a deposit guarantee to an entity that relends the money, the funds roll over at maturity into other loans, without affecting federal administrative costs much or the federal financial commitment at all.  In this example, the loans that are generated through the grant and the deposit guarantee turn over once every 7 years. For budget purposes, this rollover feature is not allowed for direct loans or loan guarantees; each new loan represents a commitment that ends when the loan matures. </t>
  </si>
  <si>
    <t>The Platforms fund $10,000,000 in student loans</t>
  </si>
  <si>
    <t xml:space="preserve">Moderate </t>
  </si>
  <si>
    <t xml:space="preserve">Modest </t>
  </si>
  <si>
    <t>The Platforms fund $10,000,000 in loans</t>
  </si>
  <si>
    <t>Federal Commitment % to Loans made</t>
  </si>
  <si>
    <t>In this simplified example, the maximum target leverage for CDFIs is 4:1 but is, in fact, often less. Most of the SBA 7a program loans carry a 75% guarantee. The FDIC deposit guarantee requires a minimum capital level to support assets, and in this example we assume 10%. Hence, at a minimum, the deposit guarantee leverages an additional 10% of asset value. The direct loans are 100% federal dollars.</t>
  </si>
  <si>
    <t xml:space="preserve">The 12% loss rate is would be exceptionally high for home mortgages, but not for student loans or for small business loans in a down cycle.  The cost to the government of the deposit guarantee in the example is the amount by which credit losses exceed the lender's capital. It is assumed that the deposits are purchased by another lender and that the depositors lose no money. </t>
  </si>
  <si>
    <t xml:space="preserve">This example shows how, in a down cycle, the direct loan and the credit guarantee increase dramatically while the grant costs the same. The deposit guarantee remains the lowest cost option to the government. However, as with the credit guarantee, the deposit guarantee is not a balance sheet item and hence, the relationship between reserves and/or subsidies and the amount of credit losses is difficult to ascertain. The additional uncertainty this creates tends to occur just as the economy is hitting the bottom, which exacerbates the decline and adds to the damage. One of the key features: in order to protect its capital the bank typically (though not always) seeks to minimize credit risk and operating cost -- thereby creating the gaps which the agencies are called upon to fill. </t>
  </si>
  <si>
    <t>Attributes of the Lender's Portfolio:</t>
  </si>
  <si>
    <t>Attributes of the Deal:</t>
  </si>
  <si>
    <t>Credit History</t>
  </si>
  <si>
    <t>Location</t>
  </si>
  <si>
    <t>Large Bank</t>
  </si>
  <si>
    <t>Small Bank</t>
  </si>
  <si>
    <t>Credit Union</t>
  </si>
  <si>
    <t>Finance Company</t>
  </si>
  <si>
    <t>Online Lender</t>
  </si>
  <si>
    <t>Credit Card Company</t>
  </si>
  <si>
    <t>CDFI Non-profit Lender</t>
  </si>
  <si>
    <t>State HFA</t>
  </si>
  <si>
    <t xml:space="preserve">Know the customer: How well can we target the actual beneficiaries -- so there is no duplicative, unused or otherwise unnecessary intervention? </t>
  </si>
  <si>
    <t xml:space="preserve">Do only what needs to be done: What lending functions are absolutely essential for the federal government to perform -- and which can be done less expensively by the private sector? </t>
  </si>
  <si>
    <r>
      <t>Be the best at it</t>
    </r>
    <r>
      <rPr>
        <b/>
        <sz val="9"/>
        <color theme="1"/>
        <rFont val="Calibri"/>
        <family val="2"/>
        <scheme val="minor"/>
      </rPr>
      <t xml:space="preserve">: </t>
    </r>
    <r>
      <rPr>
        <sz val="9"/>
        <color theme="1"/>
        <rFont val="Calibri"/>
        <family val="2"/>
        <scheme val="minor"/>
      </rPr>
      <t xml:space="preserve">Are we using the best technologies and practices among those functions we retain? </t>
    </r>
  </si>
  <si>
    <r>
      <t>Manage it effectively</t>
    </r>
    <r>
      <rPr>
        <b/>
        <sz val="9"/>
        <color theme="1"/>
        <rFont val="Calibri"/>
        <family val="2"/>
        <scheme val="minor"/>
      </rPr>
      <t>:</t>
    </r>
    <r>
      <rPr>
        <sz val="9"/>
        <color theme="1"/>
        <rFont val="Calibri"/>
        <family val="2"/>
        <scheme val="minor"/>
      </rPr>
      <t xml:space="preserve"> what metrics can we get from the private sector to help ensure that we are optimally managing our products, processes and portfolios?</t>
    </r>
  </si>
  <si>
    <t>Capacity to Pay</t>
  </si>
  <si>
    <t xml:space="preserve">The cost of the loan on a per loan basis (unit cost) is one of the key tools that banks use to determine whether or not to lend to a market segment.  Agencies can use it in the same way the bank uses it: to determine whether it fits within their "equity" or subsidy rate parameters. We show how, using a small business loan of $500,000 to a 5 year old battery recycling business in the Bronx, "BRB" that has an SBA credit score of 200 and whose principal owners have a combined average credit score of 710. </t>
  </si>
  <si>
    <t>FINANCE COMPANY</t>
  </si>
  <si>
    <t>Gross Income (Revenues) to Assets</t>
  </si>
  <si>
    <t>Term of Deal</t>
  </si>
  <si>
    <t xml:space="preserve">CHART 2.5  WHY IS THERE A CREDIT GAP? </t>
  </si>
  <si>
    <t>CHART 2.7  "QUICK AND DIRTY" UNIT COST ANALYSIS</t>
  </si>
  <si>
    <t>CHART 2.2  Ex-Im Global Express</t>
  </si>
  <si>
    <t>CHART 2.3  CALCULATION OF THE BENEFITS OF THE SBA 7a</t>
  </si>
  <si>
    <t>CHART 2.4  CALCULATION OF THE BENEFITS OF THE CDFI Fund NMTC</t>
  </si>
  <si>
    <t xml:space="preserve"> CHART 2.6   EXAMPLES OF DIFFERENT KINDS OF LENDERS</t>
  </si>
  <si>
    <t>CHART 2.8a  Platform type: Agency Operating Cost</t>
  </si>
  <si>
    <t>CHART 2.8b    Platform type</t>
  </si>
  <si>
    <t>CHART 2.8c  Leveraging the Platform</t>
  </si>
  <si>
    <t>CHART 2.8d  BUT: Downside Risk</t>
  </si>
  <si>
    <t xml:space="preserve">CHART 2.8e   Downside Risk </t>
  </si>
  <si>
    <t>CHARTS 2.8a-2.8e  PRODUCT DELIVERY PLATFORMS</t>
  </si>
  <si>
    <t xml:space="preserve">Agency </t>
  </si>
  <si>
    <t>Total Alternative Borrower Cost</t>
  </si>
  <si>
    <t xml:space="preserve">Fees </t>
  </si>
  <si>
    <t>This doesn't look so good - at least in the first year -- due to the one time fees to the SBA which exceed the expected loss rate.  In subsequent years, however, the SBA deal looks better: ROE of 28.37% for the SBA options versus 21.22% for the regular bank option. And that is before the sale of the guarantee below.</t>
  </si>
  <si>
    <t>The .28% interest expense is based on the small bank rate in CHART 2.6 and is the same for all of the bank's products</t>
  </si>
  <si>
    <t xml:space="preserve">Here the developer's equity goes to the predevelopment costs and the full $10mm is the hard cost of the project fully bank financed. </t>
  </si>
  <si>
    <t>The TC investor in this case is charging interest on the quasi-Equity B Note as well as getting the tax credits</t>
  </si>
  <si>
    <t xml:space="preserve">This a riskless return: once the tax credit is awarded, the investor has no further credit or operating exposure to the project and has already made a return of 4% on the purchase of the tax credits. The interest income over the next 7 years is simply extra. </t>
  </si>
  <si>
    <t xml:space="preserve">In this example, the Conventional Development Loan is for $10 million dollars, broken down into two parts, a $7mm senior loan at 5% and a $3mm subordinated loan at 13.5%. </t>
  </si>
  <si>
    <t>The tax credit investor puts in $3mm of equity and borrows $7mm to buy "$10mm" of tax credits with a mkt price of $3mm. The $7mm in debt is repaid by the project being built</t>
  </si>
  <si>
    <t>The investor paid $10.0mm for tax credits with a present value of $3.15mm and mkt value of $3mm.  The ROE for that part of the transaction is estimated at 7%</t>
  </si>
  <si>
    <t>Operating expenses are primarily legal and accounting fees</t>
  </si>
  <si>
    <t>CHART 2.4  CALCULATION OF THE BENEFITS OF THE CDFI Fund NMTC (Continued)</t>
  </si>
  <si>
    <t>Select your Platform Strategy</t>
  </si>
  <si>
    <t>Select your platform strategy from the dropdown list below:</t>
  </si>
  <si>
    <t>We will provide a credit guarantee</t>
  </si>
  <si>
    <t>Grant $ per $ Final Product funded</t>
  </si>
  <si>
    <t xml:space="preserve">Direct Loan </t>
  </si>
  <si>
    <t xml:space="preserve">% of the Final Product funded </t>
  </si>
  <si>
    <t xml:space="preserve"> (determines share of portfolio balances and interest revenue)</t>
  </si>
  <si>
    <t>Credit Guarantee</t>
  </si>
  <si>
    <t>% of the Final Product Guaranteed</t>
  </si>
  <si>
    <t># quarters after charge-off before executed</t>
  </si>
  <si>
    <t>(use whole numbers only - this is the amount of time before the Agency pays out under the guarantee)</t>
  </si>
  <si>
    <t xml:space="preserve">CHART 2.10  PRODUCT DESIGN: SUITABILITY FOR THE BORROWER. What credit product is now available in the market? What elements of the product need to be changed to make it suitable for the target borrower? </t>
  </si>
  <si>
    <t>Example: Monthly Fixed Payment of Principal and Interest for home mortgages, student loans and small business term loans</t>
  </si>
  <si>
    <t>Conventional Credit Product Currently Available in the Market</t>
  </si>
  <si>
    <t xml:space="preserve">Amount of the Loan </t>
  </si>
  <si>
    <t xml:space="preserve">Annual Interest Rate </t>
  </si>
  <si>
    <t>PMI if applicable (%)</t>
  </si>
  <si>
    <t>Term in Months</t>
  </si>
  <si>
    <t>Monthly Payment</t>
  </si>
  <si>
    <t>Borrower Credit Score</t>
  </si>
  <si>
    <t>Maximum Borrower LTV</t>
  </si>
  <si>
    <t>Debt Service to Income</t>
  </si>
  <si>
    <t>Borrower Annual Income $</t>
  </si>
  <si>
    <t>Borrower Equity Required %</t>
  </si>
  <si>
    <t>Borrower Equity Required $</t>
  </si>
  <si>
    <t>Inputs</t>
  </si>
  <si>
    <t>We are inputting the minimum guidelines for a conventional loan here. For consumers, the chief focus will be the Debt to Income ratio. For small businesses it will be the debt service coverage ratio. In both asset classes, cash equity invested, LTV and collateral coverage are factors as well, but it is the monthly cash flow coverage that is the key determinant of the suitability of the loan to the borrower. The reason: the borrower's ability to pay principal and interest as scheduled is an integral feature in all loans, while the value of collateral and amount of equity only come into play for those that are foreclosed.</t>
  </si>
  <si>
    <t>The Credit Product that the Target borrower needs</t>
  </si>
  <si>
    <t>Amount of the Loan</t>
  </si>
  <si>
    <t>Target Borrower</t>
  </si>
  <si>
    <t xml:space="preserve">Prior to making the loan, the lender is typically given three hard numbers: cash equity, borrower income and the amount of the loan (i.e., tuition, price of the house, needs of the business). We are going to alter that interest rate (plus PMI if it is required) and the number of months to see how much the monthly payment can be reduced to ensure a reasonable Debt Service to Income level. In a market where housing prices are rising faster than incomes, there will be pressure to increase the allowable debt service to income ratio. This should be done with care: in addition to the kinds of personal events that upset homebuyer finances, general items like rising interest rates, higher gas prices, insurance and local taxes can put pressure on the payment for consumer loans. There is an even larger range of potential threats to current payments for businesses.  </t>
  </si>
  <si>
    <t xml:space="preserve">There are alternatives to lowering the rate and/or extending the term. Reducing the amount of the loan is often the first step for the lender. But this may not be an optimal option from a policy standpoint. There are many communities, low income and rural for example, where the cost of building or rehabbing a house exceeds the market value and/or the capacity of local residents to buy under conventional terms. </t>
  </si>
  <si>
    <t xml:space="preserve">The borrower credit score is an important indicator of the borrower's general willingness and capacity to pay. The lender can use it as an indicator of how much flexibility should be allowed in the Debt to Income, LTV and cash equity requirements. </t>
  </si>
  <si>
    <t>CHART 2.11  AGENCY PROGRAM DESIGN</t>
  </si>
  <si>
    <t>CHART 2.11a   Key Performance and Investment Indicators</t>
  </si>
  <si>
    <t>Agency Performance Analysis</t>
  </si>
  <si>
    <t>Gross Loans/Commitments O/S</t>
  </si>
  <si>
    <t>AGENCY Surplus/Loss</t>
  </si>
  <si>
    <t>Agency Investment Analysis</t>
  </si>
  <si>
    <t>Cap Rate</t>
  </si>
  <si>
    <t>NPV - Net Credit Losses</t>
  </si>
  <si>
    <t>NPV - Net Income</t>
  </si>
  <si>
    <t>Reprise of "Product Design" tab - INFORMATION ONLY, DOES NOT DRIVE COMPUTATIONS</t>
  </si>
  <si>
    <t xml:space="preserve">This is the credit product that we developed in the prior section for our target borrower. But it was a place-holder. There are several things we can do to tailor the product more precisely to the borrower's need.  </t>
  </si>
  <si>
    <t>CHART 2.11b  Loan Production Assumptions - THESE INPUTS DRIVE COMPUTATIONS</t>
  </si>
  <si>
    <t>Amount of the loan ($)</t>
  </si>
  <si>
    <t>enter starting year of model:</t>
  </si>
  <si>
    <t># of loans made and/or guaranteed in year:</t>
  </si>
  <si>
    <t>dollar amount made and/or guaranteed in year:</t>
  </si>
  <si>
    <t xml:space="preserve">        CHART 2.9  FEDERAL AGENCY PLATFORM</t>
  </si>
  <si>
    <t>CHART  2.11c  Interest rates and fees - THESE INPUTS DRIVE COMPUTATIONS</t>
  </si>
  <si>
    <t>Interest Rate Index (choose 1)</t>
  </si>
  <si>
    <t>Fed Funds</t>
  </si>
  <si>
    <t>LIBOR</t>
  </si>
  <si>
    <t>Prime</t>
  </si>
  <si>
    <t>Swap</t>
  </si>
  <si>
    <t>Other  ST</t>
  </si>
  <si>
    <t>6-Mo T Bills</t>
  </si>
  <si>
    <t>10 Yr Treas</t>
  </si>
  <si>
    <t>Other LT</t>
  </si>
  <si>
    <t>Today's rate (information only)</t>
  </si>
  <si>
    <t>What index will you use for pricing loans?</t>
  </si>
  <si>
    <t>What spread over the index will the borrower be charged?</t>
  </si>
  <si>
    <t>Will borrower's loan be fixed or floating rate?</t>
  </si>
  <si>
    <t>Fixed</t>
  </si>
  <si>
    <t>(click on cell and select from drop-down list)</t>
  </si>
  <si>
    <t>Rate Forecast</t>
  </si>
  <si>
    <t>Starting Year</t>
  </si>
  <si>
    <t xml:space="preserve">Index Rate </t>
  </si>
  <si>
    <t>Agency Fees %</t>
  </si>
  <si>
    <t xml:space="preserve">Partner Fees % </t>
  </si>
  <si>
    <t>Servicing</t>
  </si>
  <si>
    <t>Guarantee Fee Up Front</t>
  </si>
  <si>
    <t>Guarantee Fee Ongoing</t>
  </si>
  <si>
    <t>Other Up Front</t>
  </si>
  <si>
    <t>Other Ongoing</t>
  </si>
  <si>
    <t>What loan structure will you use?</t>
  </si>
  <si>
    <t>Level Payment</t>
  </si>
  <si>
    <t>Amortization term, quarters</t>
  </si>
  <si>
    <t>for level payment and balloon loans</t>
  </si>
  <si>
    <t>How many quarters before the balloon or bullet comes due:</t>
  </si>
  <si>
    <t>for balloon and bullet loans</t>
  </si>
  <si>
    <t>(for balloon loans be sure to enter a number smaller than the amortization term)</t>
  </si>
  <si>
    <t>Interest-only period, for interest-only to equal amortization loans:</t>
  </si>
  <si>
    <t>for Interest-only to equal quarterly</t>
  </si>
  <si>
    <t># quarters over  which IO to equal amortization loans will amortize, after the IO period is over</t>
  </si>
  <si>
    <t># quarters over which equal amortization loans will amortize</t>
  </si>
  <si>
    <t>for fixed principal quarterly</t>
  </si>
  <si>
    <t>CHART 2.11e   Loan Sales- THESE INPUTS DRIVE COMPUTATIONS</t>
  </si>
  <si>
    <t>Percent of active loan portfolio sold in year</t>
  </si>
  <si>
    <t>Investor capitalization rate (discount rate) used to value loans upon sale</t>
  </si>
  <si>
    <t>CHART 2.11f   Product Default Risk and Prepayment Characteristics - THESE INPUTS DRIVE COMPUTATIONS</t>
  </si>
  <si>
    <t>Age of loan in years:</t>
  </si>
  <si>
    <t>Probability of default:</t>
  </si>
  <si>
    <t>Probability of prepayment:</t>
  </si>
  <si>
    <t>Year of Model:</t>
  </si>
  <si>
    <t>(Use this input for stress testing)</t>
  </si>
  <si>
    <t>Additional probability of default:</t>
  </si>
  <si>
    <t>Year after default:</t>
  </si>
  <si>
    <t>% of charge-offs recovered</t>
  </si>
  <si>
    <t>(as a percentage of the loan amount outstanding at the time of charge-off)</t>
  </si>
  <si>
    <t>Model year:</t>
  </si>
  <si>
    <t>Delinquency losses</t>
  </si>
  <si>
    <t>Agency loan loss reserve (% gross loans owned by agency)</t>
  </si>
  <si>
    <t>Percent of unrecovered charge-offs sold in year</t>
  </si>
  <si>
    <t>Cents per $1 that investors will pay for unrecovered charge-offs</t>
  </si>
  <si>
    <t>2.12  PRODUCT OPERATIONS</t>
  </si>
  <si>
    <t>The Final Product Design</t>
  </si>
  <si>
    <t>Operating costs</t>
  </si>
  <si>
    <t xml:space="preserve">Operating cost per loan can be an estimate. Generally the operating cost of a loan is largest in the first year and tends to decline in subsequent years. There are exceptions to this: project finance for example, can require substantial lender involvement over the life of the loan. Delinquent and defaulted loans also generate significant costs after the first year. One of the key challenges a lender has: do revenues cover operating costs on a year to year basis - or is it necessary to keep generating more loan volume in order to do so?  </t>
  </si>
  <si>
    <t># FTEs</t>
  </si>
  <si>
    <t>Remediation</t>
  </si>
  <si>
    <t>Administration</t>
  </si>
  <si>
    <t>Total FTEs</t>
  </si>
  <si>
    <t>Annual inflation rate for operating costs</t>
  </si>
  <si>
    <t>STAFFING COSTS</t>
  </si>
  <si>
    <t>Total staff costs</t>
  </si>
  <si>
    <t>NONSTAFF OPERATING COSTS (OTHER THAN GRANTS)</t>
  </si>
  <si>
    <t>Total nonstaff operating costs</t>
  </si>
  <si>
    <t>Total Operating Costs per year (you may choose to override)</t>
  </si>
  <si>
    <t>Opex as Percent of Principal Outstanding</t>
  </si>
  <si>
    <t>Originations per origination FTE</t>
  </si>
  <si>
    <t>Originations per underwriting FTE</t>
  </si>
  <si>
    <t>Originations per closing FTE</t>
  </si>
  <si>
    <t>Active loans per servicing FTE</t>
  </si>
  <si>
    <t>Annual servicing cost per active loan</t>
  </si>
  <si>
    <t>Monthly servicing cost per active loan</t>
  </si>
  <si>
    <t>CHART 2.13  AGENCY PORTFOLIO</t>
  </si>
  <si>
    <t>Rudimentary Assessment of the Viability of the Product/Program</t>
  </si>
  <si>
    <t>Forecast Years</t>
  </si>
  <si>
    <t>10-Year Totals</t>
  </si>
  <si>
    <t>New Loan Volume $</t>
  </si>
  <si>
    <t>New Loan Volume #</t>
  </si>
  <si>
    <t>Net Loans Outstanding $</t>
  </si>
  <si>
    <t>Loans Outstanding #</t>
  </si>
  <si>
    <t>Program Income and Expenses</t>
  </si>
  <si>
    <t>Origination fee income</t>
  </si>
  <si>
    <t>Guarantee fee income at origination</t>
  </si>
  <si>
    <t>Servicing income</t>
  </si>
  <si>
    <t>Ongoing guarantee fee income</t>
  </si>
  <si>
    <t>Interest income</t>
  </si>
  <si>
    <t>Less Interest Revenue Lost Through Delinquency</t>
  </si>
  <si>
    <t>Recoveries on charge-offs</t>
  </si>
  <si>
    <t>Income on sale of charge-offs</t>
  </si>
  <si>
    <t>Total income</t>
  </si>
  <si>
    <t>Operating expenses</t>
  </si>
  <si>
    <t>Guaranty expense (paid to lenders)</t>
  </si>
  <si>
    <t xml:space="preserve">Grants expense </t>
  </si>
  <si>
    <t>Provision for Loss</t>
  </si>
  <si>
    <t>Total expense</t>
  </si>
  <si>
    <t>Gain (loss) on sale of active loans</t>
  </si>
  <si>
    <t>Net income</t>
  </si>
  <si>
    <t>Program Loss Reserve Calculations, Balance Sheet Items, and Other Indicators</t>
  </si>
  <si>
    <t>Starting Loss Reserve</t>
  </si>
  <si>
    <t>Charge-Offs</t>
  </si>
  <si>
    <t>Ending Loss Reserve</t>
  </si>
  <si>
    <t>Ending balance, gross loans receivable</t>
  </si>
  <si>
    <t>Less Allowance for Loan Loss</t>
  </si>
  <si>
    <t>Net loans receivable</t>
  </si>
  <si>
    <t>Face value of unrecovered charge-offs in portfolio</t>
  </si>
  <si>
    <t>Cash received for sales of active loans</t>
  </si>
  <si>
    <t>Face value of loan sales of active loans</t>
  </si>
  <si>
    <t>Potential profit for year if lender sells all loans upon origination</t>
  </si>
  <si>
    <t>Percent premium on sale of loans</t>
  </si>
  <si>
    <t>Total Profitability</t>
  </si>
  <si>
    <t xml:space="preserve">Operating costs </t>
  </si>
  <si>
    <t>Lender operating expenses as a % of assets</t>
  </si>
  <si>
    <t>Net credit losses</t>
  </si>
  <si>
    <t>Guarantee payments from lenders</t>
  </si>
  <si>
    <t>Recoveries</t>
  </si>
  <si>
    <t>Charge-offs</t>
  </si>
  <si>
    <t>Fee Income:</t>
  </si>
  <si>
    <t>Principal repayments</t>
  </si>
  <si>
    <t>Gross Loans Outstanding $</t>
  </si>
  <si>
    <t>New loan volume #</t>
  </si>
  <si>
    <t>New loan volume $</t>
  </si>
  <si>
    <t>10-year totals</t>
  </si>
  <si>
    <t>Forecast Year</t>
  </si>
  <si>
    <t>CHART 2.14  GUARANTEED LENDER PORTFOLIO</t>
  </si>
  <si>
    <t>Grant recipient operating expenses as % of assets</t>
  </si>
  <si>
    <t>Grant recipient cost of borrowed funds</t>
  </si>
  <si>
    <t>Non-profit Portfolio Operating Statement</t>
  </si>
  <si>
    <t>Principal Repayments</t>
  </si>
  <si>
    <t>Loans outstanding #</t>
  </si>
  <si>
    <t>Gross Loans outstanding $</t>
  </si>
  <si>
    <t>2.15  GRANT RECIPIENT PORTFOLIO</t>
  </si>
  <si>
    <t xml:space="preserve">      SESSION 2. CONSIDERATIONS IN PROGRAM AND PRODUCT DESIGN</t>
  </si>
  <si>
    <t>CHARTs 2.2-2.4  CALCULATION OF THE FINANCIAL BENEFITS AND WHO RECEIVES THEM</t>
  </si>
  <si>
    <t xml:space="preserve">CHART 2.1  How do we minimize risk and costs while maximizing impact? </t>
  </si>
  <si>
    <t>Prinipal Repayments</t>
  </si>
  <si>
    <t xml:space="preserve">Credit losses (guarantee payments + provision for loss, less recoveries, guarantee fees, and income from sale of charge-offs) </t>
  </si>
  <si>
    <t>Loans Oustanding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</si>
</sst>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0_);\(0\)"/>
    <numFmt numFmtId="168" formatCode="_(* #,##0_);_(* \(#,##0\);_(* &quot;-&quot;??_);_(@_)"/>
  </numFmts>
  <fonts count="30" x14ac:knownFonts="1">
    <font>
      <sz val="11"/>
      <color theme="1"/>
      <name val="Calibri"/>
      <family val="2"/>
      <scheme val="minor"/>
    </font>
    <font>
      <sz val="8"/>
      <color theme="1"/>
      <name val="Calibri"/>
      <family val="2"/>
      <scheme val="minor"/>
    </font>
    <font>
      <sz val="8"/>
      <color rgb="FFFF0000"/>
      <name val="Calibri"/>
      <family val="2"/>
      <scheme val="minor"/>
    </font>
    <font>
      <sz val="11"/>
      <color theme="1"/>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b/>
      <sz val="9"/>
      <name val="Calibri"/>
      <family val="2"/>
      <scheme val="minor"/>
    </font>
    <font>
      <b/>
      <sz val="9"/>
      <color theme="0"/>
      <name val="Calibri"/>
      <family val="2"/>
      <scheme val="minor"/>
    </font>
    <font>
      <sz val="9"/>
      <color theme="1"/>
      <name val="Calibri"/>
      <family val="2"/>
    </font>
    <font>
      <sz val="10"/>
      <name val="Arial"/>
      <family val="2"/>
    </font>
    <font>
      <sz val="9"/>
      <color theme="0"/>
      <name val="Calibri"/>
      <family val="2"/>
      <scheme val="minor"/>
    </font>
    <font>
      <sz val="9"/>
      <name val="Calibri"/>
      <family val="2"/>
      <scheme val="minor"/>
    </font>
    <font>
      <sz val="10"/>
      <color theme="1"/>
      <name val="Calibri"/>
      <family val="2"/>
      <scheme val="minor"/>
    </font>
    <font>
      <b/>
      <sz val="10"/>
      <color theme="0"/>
      <name val="Calibri"/>
      <family val="2"/>
      <scheme val="minor"/>
    </font>
    <font>
      <sz val="10"/>
      <color theme="0"/>
      <name val="Calibri"/>
      <family val="2"/>
      <scheme val="minor"/>
    </font>
    <font>
      <b/>
      <sz val="10"/>
      <color rgb="FFFF0000"/>
      <name val="Calibri"/>
      <family val="2"/>
      <scheme val="minor"/>
    </font>
    <font>
      <sz val="10"/>
      <color rgb="FFFF0000"/>
      <name val="Calibri"/>
      <family val="2"/>
      <scheme val="minor"/>
    </font>
    <font>
      <sz val="8"/>
      <color theme="4" tint="-0.249977111117893"/>
      <name val="Calibri"/>
      <family val="2"/>
      <scheme val="minor"/>
    </font>
    <font>
      <b/>
      <sz val="11"/>
      <color theme="1"/>
      <name val="Calibri"/>
      <family val="2"/>
      <scheme val="minor"/>
    </font>
    <font>
      <b/>
      <sz val="9"/>
      <color rgb="FFFFFFFF"/>
      <name val="Calibri"/>
      <family val="2"/>
      <scheme val="minor"/>
    </font>
    <font>
      <sz val="9"/>
      <color rgb="FFFFFFFF"/>
      <name val="Calibri"/>
      <family val="2"/>
      <scheme val="minor"/>
    </font>
    <font>
      <sz val="9"/>
      <color rgb="FF000000"/>
      <name val="Calibri"/>
      <family val="2"/>
      <scheme val="minor"/>
    </font>
    <font>
      <sz val="12"/>
      <color theme="0"/>
      <name val="Calibri"/>
      <family val="2"/>
      <scheme val="minor"/>
    </font>
    <font>
      <b/>
      <sz val="14"/>
      <color theme="0"/>
      <name val="Calibri"/>
      <family val="2"/>
      <scheme val="minor"/>
    </font>
    <font>
      <sz val="14"/>
      <color theme="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499984740745262"/>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
      <patternFill patternType="solid">
        <fgColor theme="0" tint="-0.34998626667073579"/>
        <bgColor indexed="64"/>
      </patternFill>
    </fill>
    <fill>
      <patternFill patternType="solid">
        <fgColor rgb="FFC00000"/>
        <bgColor indexed="64"/>
      </patternFill>
    </fill>
    <fill>
      <patternFill patternType="solid">
        <fgColor theme="4" tint="0.59999389629810485"/>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A6A6A6"/>
        <bgColor rgb="FF000000"/>
      </patternFill>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0" fontId="10" fillId="0" borderId="0"/>
    <xf numFmtId="43" fontId="3" fillId="0" borderId="0" applyFont="0" applyFill="0" applyBorder="0" applyAlignment="0" applyProtection="0"/>
  </cellStyleXfs>
  <cellXfs count="464">
    <xf numFmtId="0" fontId="0" fillId="0" borderId="0" xfId="0"/>
    <xf numFmtId="0" fontId="4" fillId="0" borderId="0" xfId="0" applyFont="1"/>
    <xf numFmtId="0" fontId="4" fillId="0" borderId="0" xfId="0" applyFont="1" applyFill="1"/>
    <xf numFmtId="0" fontId="4" fillId="0" borderId="0" xfId="0" applyFont="1" applyAlignment="1">
      <alignment horizontal="center" vertical="center"/>
    </xf>
    <xf numFmtId="0" fontId="4" fillId="0" borderId="0" xfId="0" applyFont="1" applyFill="1" applyAlignment="1">
      <alignment horizontal="center" vertical="center"/>
    </xf>
    <xf numFmtId="5" fontId="4" fillId="0" borderId="0" xfId="0" applyNumberFormat="1" applyFont="1"/>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applyBorder="1"/>
    <xf numFmtId="5" fontId="4" fillId="0" borderId="0" xfId="0" applyNumberFormat="1" applyFont="1" applyAlignment="1">
      <alignment horizontal="center"/>
    </xf>
    <xf numFmtId="10" fontId="4" fillId="0" borderId="0" xfId="0" applyNumberFormat="1" applyFont="1" applyFill="1" applyAlignment="1">
      <alignment horizontal="center"/>
    </xf>
    <xf numFmtId="10" fontId="4" fillId="0" borderId="0" xfId="0" applyNumberFormat="1" applyFont="1" applyAlignment="1">
      <alignment horizontal="center"/>
    </xf>
    <xf numFmtId="0" fontId="4" fillId="3" borderId="0" xfId="0" applyFont="1" applyFill="1"/>
    <xf numFmtId="0" fontId="6" fillId="3" borderId="0" xfId="0" applyFont="1" applyFill="1"/>
    <xf numFmtId="0" fontId="6" fillId="0" borderId="0" xfId="0" applyFont="1"/>
    <xf numFmtId="5" fontId="4" fillId="0" borderId="0" xfId="0" applyNumberFormat="1" applyFont="1" applyFill="1" applyBorder="1" applyAlignment="1">
      <alignment horizontal="center"/>
    </xf>
    <xf numFmtId="10" fontId="4" fillId="0" borderId="0" xfId="0" applyNumberFormat="1" applyFont="1" applyFill="1" applyBorder="1" applyAlignment="1">
      <alignment horizontal="center"/>
    </xf>
    <xf numFmtId="0" fontId="6" fillId="0" borderId="0" xfId="0" applyFont="1" applyFill="1" applyBorder="1"/>
    <xf numFmtId="10" fontId="4" fillId="0" borderId="0" xfId="0" applyNumberFormat="1" applyFont="1" applyAlignment="1">
      <alignment horizontal="center" vertical="center"/>
    </xf>
    <xf numFmtId="10" fontId="4" fillId="0" borderId="0" xfId="0" applyNumberFormat="1" applyFont="1" applyFill="1" applyAlignment="1">
      <alignment horizontal="center" vertical="center"/>
    </xf>
    <xf numFmtId="10" fontId="4" fillId="0" borderId="0" xfId="0" applyNumberFormat="1" applyFont="1" applyBorder="1" applyAlignment="1">
      <alignment horizontal="center" vertical="center"/>
    </xf>
    <xf numFmtId="10" fontId="4" fillId="0" borderId="0" xfId="0" applyNumberFormat="1" applyFont="1" applyFill="1" applyBorder="1" applyAlignment="1">
      <alignment horizontal="center" vertical="center"/>
    </xf>
    <xf numFmtId="10" fontId="4" fillId="3" borderId="0" xfId="0" applyNumberFormat="1" applyFont="1" applyFill="1" applyAlignment="1">
      <alignment horizontal="center" vertical="center"/>
    </xf>
    <xf numFmtId="10" fontId="4" fillId="0" borderId="0" xfId="0" applyNumberFormat="1" applyFont="1" applyAlignment="1">
      <alignment horizontal="center" vertical="center" wrapText="1"/>
    </xf>
    <xf numFmtId="0" fontId="4" fillId="4" borderId="0" xfId="0" applyFont="1" applyFill="1"/>
    <xf numFmtId="0" fontId="6" fillId="0" borderId="0" xfId="0" applyFont="1" applyFill="1" applyBorder="1" applyAlignment="1">
      <alignment horizontal="center"/>
    </xf>
    <xf numFmtId="0" fontId="6" fillId="0" borderId="0" xfId="0" applyFont="1" applyFill="1"/>
    <xf numFmtId="5" fontId="4" fillId="0" borderId="0" xfId="0" applyNumberFormat="1" applyFont="1" applyFill="1" applyAlignment="1">
      <alignment horizontal="center"/>
    </xf>
    <xf numFmtId="5" fontId="4" fillId="3" borderId="0" xfId="0" applyNumberFormat="1" applyFont="1" applyFill="1" applyAlignment="1">
      <alignment horizontal="center"/>
    </xf>
    <xf numFmtId="0" fontId="0" fillId="0" borderId="0" xfId="0" applyAlignment="1">
      <alignment horizontal="center"/>
    </xf>
    <xf numFmtId="5" fontId="0" fillId="0" borderId="0" xfId="0" applyNumberFormat="1" applyAlignment="1">
      <alignment horizontal="center"/>
    </xf>
    <xf numFmtId="0" fontId="9" fillId="0" borderId="0" xfId="0" applyFont="1" applyFill="1" applyAlignment="1">
      <alignment vertical="center"/>
    </xf>
    <xf numFmtId="0" fontId="0" fillId="0" borderId="0" xfId="0" applyFill="1"/>
    <xf numFmtId="0" fontId="0" fillId="3" borderId="0" xfId="0" applyFill="1"/>
    <xf numFmtId="0" fontId="0" fillId="0" borderId="0" xfId="0" applyFill="1" applyBorder="1" applyAlignment="1">
      <alignment horizontal="center"/>
    </xf>
    <xf numFmtId="0" fontId="4" fillId="0" borderId="2" xfId="0" applyFont="1" applyFill="1" applyBorder="1"/>
    <xf numFmtId="0" fontId="4" fillId="6" borderId="0" xfId="0" applyFont="1" applyFill="1"/>
    <xf numFmtId="10" fontId="12" fillId="0" borderId="0" xfId="0" applyNumberFormat="1" applyFont="1" applyAlignment="1">
      <alignment horizontal="center"/>
    </xf>
    <xf numFmtId="10" fontId="12" fillId="0" borderId="0" xfId="0" applyNumberFormat="1" applyFont="1" applyAlignment="1">
      <alignment horizontal="center" vertical="center"/>
    </xf>
    <xf numFmtId="10" fontId="12" fillId="0" borderId="0" xfId="0" applyNumberFormat="1" applyFont="1" applyFill="1" applyAlignment="1">
      <alignment horizontal="center" vertical="center"/>
    </xf>
    <xf numFmtId="5" fontId="4" fillId="0" borderId="0" xfId="0" applyNumberFormat="1" applyFont="1" applyAlignment="1">
      <alignment horizontal="center" vertical="center"/>
    </xf>
    <xf numFmtId="5" fontId="4" fillId="0" borderId="0" xfId="0" applyNumberFormat="1" applyFont="1" applyFill="1" applyAlignment="1">
      <alignment horizontal="center" vertical="center"/>
    </xf>
    <xf numFmtId="0" fontId="4" fillId="0" borderId="0" xfId="0" applyFont="1" applyAlignment="1">
      <alignment vertical="center"/>
    </xf>
    <xf numFmtId="5" fontId="4" fillId="3" borderId="0" xfId="0" applyNumberFormat="1" applyFont="1" applyFill="1" applyAlignment="1">
      <alignment horizontal="center" vertical="center"/>
    </xf>
    <xf numFmtId="0" fontId="4" fillId="3" borderId="0" xfId="0" applyFont="1" applyFill="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6" borderId="0" xfId="0" applyFont="1" applyFill="1" applyAlignment="1">
      <alignment vertical="center"/>
    </xf>
    <xf numFmtId="5" fontId="4" fillId="0" borderId="0" xfId="1" applyNumberFormat="1" applyFont="1" applyAlignment="1">
      <alignment horizontal="center"/>
    </xf>
    <xf numFmtId="0" fontId="4" fillId="0" borderId="0" xfId="0" applyFont="1" applyAlignment="1">
      <alignment horizontal="left"/>
    </xf>
    <xf numFmtId="0" fontId="11" fillId="0" borderId="0" xfId="0" applyFont="1" applyFill="1"/>
    <xf numFmtId="5" fontId="11" fillId="0" borderId="0" xfId="0" applyNumberFormat="1" applyFont="1" applyFill="1" applyAlignment="1">
      <alignment horizontal="center"/>
    </xf>
    <xf numFmtId="0" fontId="12" fillId="0" borderId="0" xfId="0" applyFont="1" applyAlignment="1">
      <alignment horizontal="center" vertical="center"/>
    </xf>
    <xf numFmtId="164" fontId="4" fillId="0" borderId="0" xfId="0" applyNumberFormat="1" applyFont="1" applyFill="1" applyAlignment="1">
      <alignment horizontal="center" vertical="center"/>
    </xf>
    <xf numFmtId="5" fontId="6" fillId="0" borderId="0" xfId="0" applyNumberFormat="1" applyFont="1" applyFill="1" applyBorder="1" applyAlignment="1">
      <alignment horizontal="center"/>
    </xf>
    <xf numFmtId="0" fontId="4" fillId="0" borderId="2" xfId="0" applyFont="1" applyFill="1" applyBorder="1" applyAlignment="1">
      <alignment horizontal="center" vertical="center"/>
    </xf>
    <xf numFmtId="5" fontId="4" fillId="0" borderId="2" xfId="0" applyNumberFormat="1" applyFont="1" applyFill="1" applyBorder="1" applyAlignment="1">
      <alignment horizontal="center" vertical="center"/>
    </xf>
    <xf numFmtId="0" fontId="4" fillId="0" borderId="0" xfId="0" applyFont="1" applyFill="1" applyBorder="1" applyAlignment="1">
      <alignment horizontal="center" vertical="center"/>
    </xf>
    <xf numFmtId="5" fontId="4" fillId="0" borderId="0" xfId="0" applyNumberFormat="1" applyFont="1" applyFill="1" applyBorder="1" applyAlignment="1">
      <alignment horizontal="center" vertical="center"/>
    </xf>
    <xf numFmtId="10" fontId="5" fillId="0" borderId="0" xfId="0" applyNumberFormat="1" applyFont="1" applyFill="1" applyAlignment="1">
      <alignment horizontal="center" vertical="center"/>
    </xf>
    <xf numFmtId="9" fontId="4" fillId="0" borderId="0" xfId="0" applyNumberFormat="1" applyFont="1" applyFill="1" applyAlignment="1">
      <alignment horizontal="center" vertical="center"/>
    </xf>
    <xf numFmtId="0" fontId="0" fillId="0" borderId="0" xfId="0" applyFill="1" applyBorder="1" applyAlignment="1">
      <alignment horizontal="center" vertical="center"/>
    </xf>
    <xf numFmtId="5" fontId="6" fillId="0" borderId="0" xfId="0" applyNumberFormat="1" applyFont="1" applyFill="1" applyAlignment="1">
      <alignment horizontal="center" vertical="center"/>
    </xf>
    <xf numFmtId="165" fontId="4" fillId="0" borderId="0" xfId="0" applyNumberFormat="1" applyFont="1" applyFill="1" applyBorder="1" applyAlignment="1">
      <alignment horizontal="center" vertical="center"/>
    </xf>
    <xf numFmtId="42" fontId="6" fillId="0" borderId="0" xfId="1" applyNumberFormat="1" applyFont="1" applyFill="1" applyBorder="1" applyAlignment="1">
      <alignment horizontal="center"/>
    </xf>
    <xf numFmtId="42" fontId="4" fillId="0" borderId="0" xfId="0" applyNumberFormat="1" applyFont="1" applyFill="1" applyAlignment="1">
      <alignment horizontal="center"/>
    </xf>
    <xf numFmtId="0" fontId="0" fillId="3" borderId="0" xfId="0" applyFont="1" applyFill="1" applyAlignment="1">
      <alignment horizontal="left" vertical="center" wrapText="1"/>
    </xf>
    <xf numFmtId="0" fontId="0" fillId="2" borderId="2" xfId="0" applyFont="1" applyFill="1" applyBorder="1" applyAlignment="1">
      <alignment horizontal="left" vertical="center" wrapText="1"/>
    </xf>
    <xf numFmtId="10" fontId="4" fillId="3" borderId="0" xfId="0" applyNumberFormat="1" applyFont="1" applyFill="1" applyAlignment="1">
      <alignment horizontal="center" vertical="center" wrapText="1"/>
    </xf>
    <xf numFmtId="10" fontId="6" fillId="3" borderId="0" xfId="0" applyNumberFormat="1" applyFont="1" applyFill="1" applyAlignment="1">
      <alignment horizontal="center" vertical="center" wrapText="1"/>
    </xf>
    <xf numFmtId="0" fontId="4" fillId="6" borderId="0" xfId="0" applyFont="1" applyFill="1" applyAlignment="1">
      <alignment horizontal="left" vertical="center"/>
    </xf>
    <xf numFmtId="0" fontId="1" fillId="6" borderId="0" xfId="0" applyFont="1" applyFill="1" applyAlignment="1">
      <alignment horizontal="center"/>
    </xf>
    <xf numFmtId="0" fontId="6" fillId="2" borderId="2" xfId="0" applyFont="1" applyFill="1" applyBorder="1" applyAlignment="1">
      <alignment vertical="center"/>
    </xf>
    <xf numFmtId="0" fontId="4" fillId="2" borderId="2"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6" fillId="0" borderId="0" xfId="0" applyFont="1" applyFill="1" applyAlignment="1">
      <alignment vertical="center"/>
    </xf>
    <xf numFmtId="0" fontId="0" fillId="2" borderId="2" xfId="0" applyFill="1" applyBorder="1" applyAlignment="1">
      <alignment horizontal="left" vertical="center" wrapText="1"/>
    </xf>
    <xf numFmtId="0" fontId="4" fillId="3" borderId="0" xfId="0" applyFont="1" applyFill="1" applyAlignment="1">
      <alignment vertical="center"/>
    </xf>
    <xf numFmtId="0" fontId="4" fillId="0" borderId="1" xfId="0" applyFont="1" applyFill="1" applyBorder="1" applyAlignment="1">
      <alignment horizontal="center" vertical="center" wrapText="1"/>
    </xf>
    <xf numFmtId="0" fontId="6" fillId="0" borderId="0" xfId="0" applyFont="1" applyAlignment="1">
      <alignment vertical="center"/>
    </xf>
    <xf numFmtId="0" fontId="0" fillId="0" borderId="2" xfId="0" applyFill="1" applyBorder="1" applyAlignment="1">
      <alignment horizontal="left" vertical="center" wrapText="1"/>
    </xf>
    <xf numFmtId="0" fontId="0" fillId="0" borderId="0" xfId="0" applyFont="1" applyFill="1" applyAlignment="1">
      <alignment horizontal="left" vertical="center" wrapText="1"/>
    </xf>
    <xf numFmtId="10" fontId="12" fillId="0" borderId="0" xfId="0" applyNumberFormat="1" applyFont="1" applyFill="1" applyBorder="1" applyAlignment="1">
      <alignment horizontal="center" vertical="center"/>
    </xf>
    <xf numFmtId="0" fontId="0" fillId="0" borderId="0" xfId="0" applyAlignment="1">
      <alignment horizontal="left" vertical="center" wrapText="1"/>
    </xf>
    <xf numFmtId="0" fontId="4" fillId="3" borderId="0" xfId="0" applyFont="1" applyFill="1" applyAlignment="1">
      <alignment horizontal="left" vertical="center" wrapText="1"/>
    </xf>
    <xf numFmtId="0" fontId="4" fillId="0" borderId="0" xfId="0" applyFont="1" applyAlignment="1">
      <alignment horizontal="left" vertical="center" wrapText="1"/>
    </xf>
    <xf numFmtId="0" fontId="0"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center" vertical="center" wrapText="1"/>
    </xf>
    <xf numFmtId="5" fontId="4" fillId="0" borderId="0" xfId="0" applyNumberFormat="1" applyFont="1" applyAlignment="1">
      <alignment horizontal="center" vertical="center" wrapText="1"/>
    </xf>
    <xf numFmtId="0" fontId="0" fillId="0" borderId="0" xfId="0" applyFill="1" applyAlignment="1">
      <alignment horizontal="left" vertical="center" wrapText="1"/>
    </xf>
    <xf numFmtId="0" fontId="4" fillId="2" borderId="2" xfId="0" applyFont="1" applyFill="1" applyBorder="1" applyAlignment="1">
      <alignment horizontal="center" vertical="center" wrapText="1"/>
    </xf>
    <xf numFmtId="0" fontId="4" fillId="3" borderId="0" xfId="0" applyFont="1" applyFill="1" applyAlignment="1">
      <alignment horizontal="left" vertical="center" wrapText="1"/>
    </xf>
    <xf numFmtId="0" fontId="0"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left" vertical="center" wrapText="1"/>
    </xf>
    <xf numFmtId="5" fontId="4" fillId="0" borderId="0" xfId="0" applyNumberFormat="1" applyFont="1" applyAlignment="1">
      <alignment horizontal="center" vertical="center" wrapText="1"/>
    </xf>
    <xf numFmtId="164" fontId="4" fillId="0" borderId="0" xfId="0" applyNumberFormat="1" applyFont="1" applyAlignment="1">
      <alignment vertical="center"/>
    </xf>
    <xf numFmtId="164" fontId="4" fillId="0" borderId="0" xfId="0" applyNumberFormat="1" applyFont="1" applyAlignment="1">
      <alignment horizontal="center" vertical="center"/>
    </xf>
    <xf numFmtId="164" fontId="4" fillId="0" borderId="0" xfId="0" applyNumberFormat="1" applyFont="1" applyFill="1" applyBorder="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10" fontId="4" fillId="0" borderId="0" xfId="0" applyNumberFormat="1" applyFont="1" applyAlignment="1">
      <alignment vertical="center"/>
    </xf>
    <xf numFmtId="0" fontId="4" fillId="3" borderId="0" xfId="0" applyFont="1" applyFill="1" applyBorder="1" applyAlignment="1">
      <alignment vertical="center"/>
    </xf>
    <xf numFmtId="10" fontId="7" fillId="3" borderId="0" xfId="2" applyNumberFormat="1" applyFont="1" applyFill="1" applyBorder="1" applyAlignment="1">
      <alignment horizontal="center" vertical="center"/>
    </xf>
    <xf numFmtId="10" fontId="6" fillId="3" borderId="0" xfId="2" applyNumberFormat="1" applyFont="1" applyFill="1" applyBorder="1" applyAlignment="1">
      <alignment horizontal="center" vertical="center"/>
    </xf>
    <xf numFmtId="0" fontId="4" fillId="0" borderId="0" xfId="0" applyFont="1" applyBorder="1" applyAlignment="1">
      <alignment vertical="center"/>
    </xf>
    <xf numFmtId="10" fontId="5" fillId="0" borderId="0" xfId="2" applyNumberFormat="1" applyFont="1" applyBorder="1" applyAlignment="1">
      <alignment horizontal="center" vertical="center"/>
    </xf>
    <xf numFmtId="0" fontId="5" fillId="0" borderId="0" xfId="0" applyFont="1" applyBorder="1" applyAlignment="1">
      <alignment vertical="center"/>
    </xf>
    <xf numFmtId="10" fontId="4" fillId="0" borderId="0" xfId="2" applyNumberFormat="1" applyFont="1" applyBorder="1" applyAlignment="1">
      <alignment horizontal="center" vertical="center"/>
    </xf>
    <xf numFmtId="10" fontId="12" fillId="0" borderId="0" xfId="2" applyNumberFormat="1" applyFont="1" applyBorder="1" applyAlignment="1">
      <alignment horizontal="center" vertical="center"/>
    </xf>
    <xf numFmtId="0" fontId="4" fillId="4" borderId="0" xfId="0" applyFont="1" applyFill="1" applyAlignment="1">
      <alignment vertical="center"/>
    </xf>
    <xf numFmtId="0" fontId="6" fillId="4" borderId="0" xfId="0" applyFont="1" applyFill="1" applyAlignment="1">
      <alignment vertical="center"/>
    </xf>
    <xf numFmtId="5" fontId="4" fillId="0" borderId="0" xfId="0" applyNumberFormat="1" applyFont="1" applyAlignment="1">
      <alignment vertical="center"/>
    </xf>
    <xf numFmtId="10" fontId="6" fillId="3" borderId="0" xfId="0" applyNumberFormat="1" applyFont="1" applyFill="1" applyAlignment="1">
      <alignment horizontal="center" vertical="center"/>
    </xf>
    <xf numFmtId="0" fontId="5" fillId="0" borderId="0" xfId="0" applyFont="1" applyFill="1" applyAlignment="1">
      <alignment vertical="center"/>
    </xf>
    <xf numFmtId="0" fontId="0" fillId="0" borderId="0" xfId="0" applyAlignment="1">
      <alignment horizontal="left" vertical="center" wrapText="1"/>
    </xf>
    <xf numFmtId="0" fontId="4" fillId="0" borderId="1" xfId="0" applyFont="1" applyFill="1" applyBorder="1" applyAlignment="1">
      <alignment horizontal="center" vertical="center"/>
    </xf>
    <xf numFmtId="5" fontId="12" fillId="0" borderId="0" xfId="2" applyNumberFormat="1" applyFont="1" applyBorder="1" applyAlignment="1">
      <alignment horizontal="center" vertical="center"/>
    </xf>
    <xf numFmtId="5" fontId="12"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7" fillId="2" borderId="2" xfId="0" applyFont="1" applyFill="1" applyBorder="1" applyAlignment="1">
      <alignment horizontal="center" vertical="center"/>
    </xf>
    <xf numFmtId="0" fontId="0" fillId="0" borderId="0" xfId="0" applyAlignment="1">
      <alignment vertical="center"/>
    </xf>
    <xf numFmtId="0" fontId="13" fillId="0" borderId="0" xfId="0" applyFont="1" applyAlignment="1">
      <alignment vertical="center" wrapText="1"/>
    </xf>
    <xf numFmtId="7" fontId="1" fillId="6" borderId="0" xfId="0" applyNumberFormat="1" applyFont="1" applyFill="1" applyAlignment="1">
      <alignment horizontal="center"/>
    </xf>
    <xf numFmtId="0" fontId="14" fillId="8" borderId="0" xfId="0" applyFont="1" applyFill="1" applyAlignment="1">
      <alignment vertical="center"/>
    </xf>
    <xf numFmtId="20" fontId="14" fillId="8" borderId="0" xfId="0" applyNumberFormat="1" applyFont="1" applyFill="1" applyAlignment="1">
      <alignment horizontal="center" vertical="center"/>
    </xf>
    <xf numFmtId="0" fontId="15" fillId="8" borderId="0" xfId="0" applyFont="1" applyFill="1" applyAlignment="1">
      <alignment vertical="center"/>
    </xf>
    <xf numFmtId="0" fontId="16" fillId="0" borderId="0" xfId="0" applyFont="1" applyAlignment="1">
      <alignment vertical="center" wrapText="1"/>
    </xf>
    <xf numFmtId="0" fontId="13" fillId="2" borderId="2" xfId="0" applyFont="1" applyFill="1" applyBorder="1" applyAlignment="1">
      <alignment vertical="center"/>
    </xf>
    <xf numFmtId="0" fontId="13" fillId="2" borderId="2" xfId="0" applyFont="1" applyFill="1" applyBorder="1" applyAlignment="1">
      <alignment horizontal="left" vertical="center"/>
    </xf>
    <xf numFmtId="0" fontId="13" fillId="2" borderId="2" xfId="0" applyFont="1" applyFill="1" applyBorder="1" applyAlignment="1">
      <alignment vertical="center" wrapText="1"/>
    </xf>
    <xf numFmtId="0" fontId="13"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vertical="center" wrapText="1"/>
    </xf>
    <xf numFmtId="20" fontId="14" fillId="8" borderId="0" xfId="0" applyNumberFormat="1" applyFont="1" applyFill="1" applyAlignment="1">
      <alignment horizontal="center" vertical="center" wrapText="1"/>
    </xf>
    <xf numFmtId="0" fontId="14" fillId="8" borderId="0" xfId="0" applyFont="1" applyFill="1" applyAlignment="1">
      <alignment horizontal="left" vertical="center"/>
    </xf>
    <xf numFmtId="20" fontId="13" fillId="0" borderId="0" xfId="0" applyNumberFormat="1" applyFont="1" applyAlignment="1">
      <alignment horizontal="left" vertical="center"/>
    </xf>
    <xf numFmtId="0" fontId="15" fillId="8" borderId="0" xfId="0" applyFont="1" applyFill="1" applyAlignment="1">
      <alignment vertical="center" wrapText="1"/>
    </xf>
    <xf numFmtId="0" fontId="13" fillId="0" borderId="0" xfId="0" applyFont="1" applyAlignment="1">
      <alignment horizontal="center" vertical="center"/>
    </xf>
    <xf numFmtId="0" fontId="16" fillId="0" borderId="0" xfId="0" applyFont="1" applyAlignment="1">
      <alignment vertical="center"/>
    </xf>
    <xf numFmtId="20" fontId="14" fillId="8" borderId="0" xfId="0" applyNumberFormat="1" applyFont="1" applyFill="1" applyAlignment="1">
      <alignment horizontal="left" vertical="center"/>
    </xf>
    <xf numFmtId="0" fontId="4" fillId="2" borderId="2" xfId="0" applyFont="1" applyFill="1" applyBorder="1" applyAlignment="1">
      <alignment horizontal="center" vertical="center" wrapText="1"/>
    </xf>
    <xf numFmtId="0" fontId="0" fillId="0" borderId="3" xfId="0" applyBorder="1" applyAlignment="1">
      <alignment vertical="center"/>
    </xf>
    <xf numFmtId="0" fontId="4" fillId="0" borderId="4" xfId="0" applyFont="1" applyFill="1" applyBorder="1" applyAlignment="1">
      <alignment horizontal="center" vertical="center" wrapText="1"/>
    </xf>
    <xf numFmtId="0" fontId="13" fillId="7" borderId="0" xfId="0" applyFont="1" applyFill="1" applyAlignment="1">
      <alignment vertical="center" wrapText="1"/>
    </xf>
    <xf numFmtId="0" fontId="13" fillId="7" borderId="0" xfId="0" applyFont="1" applyFill="1" applyAlignment="1">
      <alignment vertical="center"/>
    </xf>
    <xf numFmtId="0" fontId="13" fillId="10" borderId="0" xfId="0" applyFont="1" applyFill="1" applyAlignment="1">
      <alignment vertical="center"/>
    </xf>
    <xf numFmtId="0" fontId="13" fillId="11" borderId="0" xfId="0" applyFont="1" applyFill="1" applyAlignment="1">
      <alignment vertical="center"/>
    </xf>
    <xf numFmtId="0" fontId="0" fillId="7" borderId="0" xfId="0" applyFill="1" applyAlignment="1">
      <alignment vertical="center"/>
    </xf>
    <xf numFmtId="0" fontId="4" fillId="0" borderId="0" xfId="0" applyFont="1" applyFill="1" applyAlignment="1">
      <alignment horizontal="center" vertical="center" wrapText="1"/>
    </xf>
    <xf numFmtId="0" fontId="4" fillId="12" borderId="0" xfId="0" applyFont="1" applyFill="1"/>
    <xf numFmtId="0" fontId="4" fillId="14" borderId="0" xfId="0" applyFont="1" applyFill="1"/>
    <xf numFmtId="0" fontId="6" fillId="5" borderId="2" xfId="0" applyFont="1" applyFill="1" applyBorder="1"/>
    <xf numFmtId="0" fontId="0" fillId="4" borderId="0" xfId="0" applyFill="1" applyAlignment="1">
      <alignment horizontal="center" wrapText="1"/>
    </xf>
    <xf numFmtId="0" fontId="0" fillId="12" borderId="0" xfId="0" applyFill="1" applyAlignment="1">
      <alignment horizontal="center" wrapText="1"/>
    </xf>
    <xf numFmtId="0" fontId="8" fillId="12" borderId="0" xfId="0" applyFont="1" applyFill="1" applyAlignment="1">
      <alignment horizontal="center" vertical="center" wrapText="1"/>
    </xf>
    <xf numFmtId="0" fontId="8" fillId="4" borderId="0" xfId="0" applyFont="1" applyFill="1" applyAlignment="1">
      <alignment horizontal="center" vertical="center" wrapText="1"/>
    </xf>
    <xf numFmtId="5" fontId="4" fillId="0" borderId="0" xfId="1" applyNumberFormat="1" applyFont="1" applyFill="1" applyAlignment="1">
      <alignment horizontal="center"/>
    </xf>
    <xf numFmtId="9" fontId="4" fillId="15" borderId="4" xfId="0" applyNumberFormat="1" applyFont="1" applyFill="1" applyBorder="1" applyAlignment="1">
      <alignment horizontal="center"/>
    </xf>
    <xf numFmtId="0" fontId="4" fillId="0" borderId="1" xfId="0" applyFont="1" applyFill="1" applyBorder="1" applyAlignment="1">
      <alignment vertical="center"/>
    </xf>
    <xf numFmtId="0" fontId="11" fillId="12" borderId="2" xfId="0" applyFont="1" applyFill="1" applyBorder="1" applyAlignment="1">
      <alignment vertical="center"/>
    </xf>
    <xf numFmtId="0" fontId="11" fillId="13" borderId="2" xfId="0" applyFont="1" applyFill="1" applyBorder="1" applyAlignment="1">
      <alignment vertical="center"/>
    </xf>
    <xf numFmtId="0" fontId="4" fillId="12" borderId="0" xfId="0" applyFont="1" applyFill="1" applyAlignment="1">
      <alignment vertical="center"/>
    </xf>
    <xf numFmtId="0" fontId="4" fillId="14" borderId="0" xfId="0" applyFont="1" applyFill="1" applyAlignment="1">
      <alignment vertical="center"/>
    </xf>
    <xf numFmtId="0" fontId="6" fillId="0" borderId="1" xfId="0" applyFont="1" applyFill="1" applyBorder="1" applyAlignment="1">
      <alignment horizontal="center" vertical="center" wrapText="1"/>
    </xf>
    <xf numFmtId="0" fontId="8" fillId="13" borderId="2" xfId="0" applyFont="1" applyFill="1" applyBorder="1" applyAlignment="1">
      <alignment vertical="center"/>
    </xf>
    <xf numFmtId="0" fontId="8" fillId="13" borderId="2" xfId="0" applyFont="1" applyFill="1" applyBorder="1"/>
    <xf numFmtId="0" fontId="11" fillId="13" borderId="2" xfId="0" applyFont="1" applyFill="1" applyBorder="1"/>
    <xf numFmtId="0" fontId="11" fillId="13" borderId="2" xfId="0" applyFont="1" applyFill="1" applyBorder="1" applyAlignment="1">
      <alignment horizontal="center"/>
    </xf>
    <xf numFmtId="0" fontId="11" fillId="13" borderId="2" xfId="0" applyFont="1" applyFill="1" applyBorder="1" applyAlignment="1">
      <alignment horizontal="center" vertical="center" wrapText="1"/>
    </xf>
    <xf numFmtId="0" fontId="9" fillId="12" borderId="0" xfId="0" applyFont="1" applyFill="1" applyAlignment="1">
      <alignment vertical="center"/>
    </xf>
    <xf numFmtId="0" fontId="4" fillId="12" borderId="0" xfId="0" applyFont="1" applyFill="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3" borderId="0" xfId="0" applyFont="1" applyFill="1" applyAlignment="1">
      <alignment vertical="center"/>
    </xf>
    <xf numFmtId="0" fontId="4" fillId="14" borderId="0" xfId="0" applyFont="1" applyFill="1" applyAlignment="1">
      <alignment vertical="center" wrapText="1"/>
    </xf>
    <xf numFmtId="0" fontId="0" fillId="14" borderId="0" xfId="0" applyFill="1" applyAlignment="1">
      <alignment vertical="center"/>
    </xf>
    <xf numFmtId="0" fontId="0" fillId="0" borderId="0" xfId="0" applyFont="1" applyAlignment="1">
      <alignment horizontal="left" vertical="center" wrapText="1"/>
    </xf>
    <xf numFmtId="0" fontId="0" fillId="0" borderId="0" xfId="0" applyFont="1" applyFill="1" applyAlignment="1">
      <alignment horizontal="left" vertical="center" wrapText="1"/>
    </xf>
    <xf numFmtId="0" fontId="6"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5" fontId="6" fillId="0" borderId="5" xfId="0" applyNumberFormat="1" applyFont="1" applyFill="1" applyBorder="1" applyAlignment="1">
      <alignment horizontal="center" vertical="center"/>
    </xf>
    <xf numFmtId="5" fontId="4" fillId="0" borderId="5" xfId="0" applyNumberFormat="1" applyFont="1" applyFill="1" applyBorder="1" applyAlignment="1">
      <alignment horizontal="center" vertical="center"/>
    </xf>
    <xf numFmtId="0" fontId="8" fillId="14" borderId="0" xfId="0" applyFont="1" applyFill="1" applyAlignment="1">
      <alignment horizontal="left" vertical="center" wrapText="1"/>
    </xf>
    <xf numFmtId="0" fontId="4" fillId="0" borderId="0" xfId="0" applyFont="1" applyFill="1" applyAlignment="1">
      <alignment vertical="center" wrapText="1"/>
    </xf>
    <xf numFmtId="0" fontId="0" fillId="0" borderId="0" xfId="0" applyAlignment="1"/>
    <xf numFmtId="0" fontId="4" fillId="0" borderId="0" xfId="0" applyFont="1" applyFill="1" applyAlignment="1"/>
    <xf numFmtId="0" fontId="0" fillId="0" borderId="0" xfId="0" applyFill="1" applyAlignment="1"/>
    <xf numFmtId="0" fontId="0" fillId="14" borderId="0" xfId="0" applyFill="1" applyAlignment="1">
      <alignment wrapText="1"/>
    </xf>
    <xf numFmtId="0" fontId="8" fillId="13" borderId="2" xfId="0" applyFont="1" applyFill="1" applyBorder="1" applyAlignment="1">
      <alignment horizontal="center"/>
    </xf>
    <xf numFmtId="9" fontId="4" fillId="0" borderId="4" xfId="0" applyNumberFormat="1" applyFont="1" applyFill="1" applyBorder="1" applyAlignment="1">
      <alignment horizontal="center"/>
    </xf>
    <xf numFmtId="0" fontId="0" fillId="14" borderId="0" xfId="0" applyFill="1" applyAlignment="1">
      <alignment horizontal="left"/>
    </xf>
    <xf numFmtId="5" fontId="8" fillId="13" borderId="2" xfId="0" applyNumberFormat="1" applyFont="1" applyFill="1" applyBorder="1" applyAlignment="1">
      <alignment horizontal="center"/>
    </xf>
    <xf numFmtId="5" fontId="11" fillId="13" borderId="2" xfId="0" applyNumberFormat="1" applyFont="1" applyFill="1" applyBorder="1" applyAlignment="1">
      <alignment horizontal="center"/>
    </xf>
    <xf numFmtId="42" fontId="6" fillId="9" borderId="4" xfId="1" applyNumberFormat="1" applyFont="1" applyFill="1" applyBorder="1" applyAlignment="1">
      <alignment horizontal="center"/>
    </xf>
    <xf numFmtId="0" fontId="4" fillId="0" borderId="5" xfId="0" applyFont="1" applyFill="1" applyBorder="1"/>
    <xf numFmtId="0" fontId="4" fillId="0" borderId="5" xfId="0" applyFont="1" applyFill="1" applyBorder="1" applyAlignment="1">
      <alignment horizontal="center" vertical="center"/>
    </xf>
    <xf numFmtId="5" fontId="4" fillId="0" borderId="5" xfId="0" applyNumberFormat="1" applyFont="1" applyFill="1" applyBorder="1" applyAlignment="1">
      <alignment horizontal="center"/>
    </xf>
    <xf numFmtId="0" fontId="6" fillId="13" borderId="2" xfId="0" applyFont="1" applyFill="1" applyBorder="1"/>
    <xf numFmtId="0" fontId="6" fillId="13" borderId="2" xfId="0" applyFont="1" applyFill="1" applyBorder="1" applyAlignment="1">
      <alignment horizontal="center"/>
    </xf>
    <xf numFmtId="5" fontId="6" fillId="13" borderId="2" xfId="0" applyNumberFormat="1" applyFont="1" applyFill="1" applyBorder="1" applyAlignment="1">
      <alignment horizontal="center"/>
    </xf>
    <xf numFmtId="5" fontId="4" fillId="13" borderId="2" xfId="0" applyNumberFormat="1" applyFont="1" applyFill="1" applyBorder="1" applyAlignment="1">
      <alignment horizontal="center"/>
    </xf>
    <xf numFmtId="0" fontId="4" fillId="13" borderId="2" xfId="0" applyFont="1" applyFill="1" applyBorder="1" applyAlignment="1">
      <alignment horizontal="center"/>
    </xf>
    <xf numFmtId="0" fontId="4" fillId="13" borderId="2" xfId="0" applyFont="1" applyFill="1" applyBorder="1" applyAlignment="1">
      <alignment horizontal="left" vertical="center"/>
    </xf>
    <xf numFmtId="0" fontId="1" fillId="13" borderId="2" xfId="0" applyFont="1" applyFill="1" applyBorder="1" applyAlignment="1">
      <alignment horizontal="center"/>
    </xf>
    <xf numFmtId="42" fontId="6" fillId="9" borderId="4" xfId="0" applyNumberFormat="1" applyFont="1" applyFill="1" applyBorder="1" applyAlignment="1">
      <alignment horizontal="center"/>
    </xf>
    <xf numFmtId="0" fontId="0" fillId="0" borderId="5" xfId="0" applyBorder="1"/>
    <xf numFmtId="9" fontId="4" fillId="0" borderId="5" xfId="0" applyNumberFormat="1" applyFont="1" applyFill="1" applyBorder="1" applyAlignment="1">
      <alignment horizontal="center" vertical="center"/>
    </xf>
    <xf numFmtId="10" fontId="12" fillId="7" borderId="0" xfId="0" applyNumberFormat="1" applyFont="1" applyFill="1" applyAlignment="1">
      <alignment horizontal="center" vertical="center"/>
    </xf>
    <xf numFmtId="10" fontId="4" fillId="7" borderId="0" xfId="0" applyNumberFormat="1" applyFont="1" applyFill="1" applyAlignment="1">
      <alignment horizontal="center" vertical="center"/>
    </xf>
    <xf numFmtId="0" fontId="4" fillId="0" borderId="0" xfId="0" applyFont="1" applyAlignment="1">
      <alignment vertical="center" wrapText="1"/>
    </xf>
    <xf numFmtId="0" fontId="4" fillId="0" borderId="0" xfId="0" applyFont="1" applyFill="1" applyAlignment="1">
      <alignment vertical="center" wrapText="1"/>
    </xf>
    <xf numFmtId="0" fontId="0" fillId="0" borderId="0" xfId="0" applyFill="1" applyAlignment="1"/>
    <xf numFmtId="0" fontId="0" fillId="0" borderId="0" xfId="0" applyAlignment="1"/>
    <xf numFmtId="0" fontId="0" fillId="0" borderId="0" xfId="0" applyAlignment="1">
      <alignment vertical="center"/>
    </xf>
    <xf numFmtId="0" fontId="0" fillId="0" borderId="0" xfId="0" applyFill="1" applyAlignment="1"/>
    <xf numFmtId="0" fontId="0" fillId="0" borderId="0" xfId="0" applyAlignment="1"/>
    <xf numFmtId="0" fontId="0" fillId="0" borderId="0" xfId="0" applyAlignment="1">
      <alignment wrapText="1"/>
    </xf>
    <xf numFmtId="0" fontId="4" fillId="13" borderId="2" xfId="0" applyFont="1" applyFill="1" applyBorder="1"/>
    <xf numFmtId="0" fontId="0" fillId="14" borderId="0" xfId="0" applyFont="1" applyFill="1" applyAlignment="1">
      <alignment horizontal="center" vertical="center"/>
    </xf>
    <xf numFmtId="0" fontId="0" fillId="14"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0" fontId="18" fillId="0" borderId="0" xfId="0" applyFont="1" applyFill="1" applyAlignment="1">
      <alignment vertical="center" wrapText="1"/>
    </xf>
    <xf numFmtId="0" fontId="18" fillId="0" borderId="0" xfId="0" applyFont="1" applyFill="1" applyAlignment="1">
      <alignment vertical="center"/>
    </xf>
    <xf numFmtId="10" fontId="18" fillId="0" borderId="0" xfId="0" applyNumberFormat="1" applyFont="1" applyFill="1" applyAlignment="1">
      <alignment horizontal="center" vertical="center"/>
    </xf>
    <xf numFmtId="10" fontId="18" fillId="0" borderId="0" xfId="0" applyNumberFormat="1" applyFont="1" applyFill="1" applyAlignment="1">
      <alignment horizontal="center" vertical="center" wrapText="1"/>
    </xf>
    <xf numFmtId="10" fontId="18" fillId="0" borderId="0" xfId="0" applyNumberFormat="1" applyFont="1" applyFill="1" applyAlignment="1">
      <alignment horizontal="left" vertical="center"/>
    </xf>
    <xf numFmtId="0" fontId="4" fillId="16" borderId="0" xfId="0" applyFont="1" applyFill="1"/>
    <xf numFmtId="0" fontId="4" fillId="6" borderId="5" xfId="0" applyFont="1" applyFill="1" applyBorder="1"/>
    <xf numFmtId="0" fontId="4" fillId="6" borderId="5" xfId="0" applyFont="1" applyFill="1" applyBorder="1" applyAlignment="1">
      <alignment horizontal="center" vertical="center"/>
    </xf>
    <xf numFmtId="5" fontId="6" fillId="6" borderId="5" xfId="0" applyNumberFormat="1" applyFont="1" applyFill="1" applyBorder="1" applyAlignment="1">
      <alignment horizontal="center" vertical="center"/>
    </xf>
    <xf numFmtId="0" fontId="4" fillId="16" borderId="0" xfId="0" applyFont="1" applyFill="1" applyBorder="1"/>
    <xf numFmtId="0" fontId="4" fillId="16" borderId="0" xfId="0" applyFont="1" applyFill="1" applyBorder="1" applyAlignment="1">
      <alignment horizontal="center" vertical="center"/>
    </xf>
    <xf numFmtId="10" fontId="5" fillId="16" borderId="0" xfId="0" applyNumberFormat="1" applyFont="1" applyFill="1" applyBorder="1" applyAlignment="1">
      <alignment horizontal="center" vertical="center"/>
    </xf>
    <xf numFmtId="10" fontId="4" fillId="16" borderId="0" xfId="0" applyNumberFormat="1" applyFont="1" applyFill="1" applyBorder="1" applyAlignment="1">
      <alignment horizontal="center" vertical="center"/>
    </xf>
    <xf numFmtId="10" fontId="4" fillId="16" borderId="0" xfId="0" applyNumberFormat="1" applyFont="1" applyFill="1" applyBorder="1" applyAlignment="1">
      <alignment horizontal="center"/>
    </xf>
    <xf numFmtId="0" fontId="19" fillId="3" borderId="0" xfId="0" applyFont="1" applyFill="1"/>
    <xf numFmtId="5" fontId="6" fillId="16" borderId="0" xfId="0" applyNumberFormat="1" applyFont="1" applyFill="1" applyBorder="1" applyAlignment="1">
      <alignment horizontal="center" vertical="center"/>
    </xf>
    <xf numFmtId="42" fontId="6" fillId="16" borderId="0" xfId="1" applyNumberFormat="1" applyFont="1" applyFill="1" applyBorder="1" applyAlignment="1">
      <alignment horizontal="center"/>
    </xf>
    <xf numFmtId="0" fontId="4" fillId="16" borderId="0" xfId="0" applyFont="1" applyFill="1" applyAlignment="1">
      <alignment horizontal="center" vertical="center"/>
    </xf>
    <xf numFmtId="5" fontId="4" fillId="16" borderId="0" xfId="0" applyNumberFormat="1" applyFont="1" applyFill="1" applyAlignment="1">
      <alignment horizontal="center" vertical="center"/>
    </xf>
    <xf numFmtId="5" fontId="4" fillId="16" borderId="0" xfId="0" applyNumberFormat="1" applyFont="1" applyFill="1" applyAlignment="1">
      <alignment horizontal="center"/>
    </xf>
    <xf numFmtId="0" fontId="4" fillId="6" borderId="2" xfId="0" applyFont="1" applyFill="1" applyBorder="1"/>
    <xf numFmtId="0" fontId="4" fillId="6" borderId="2" xfId="0" applyFont="1" applyFill="1" applyBorder="1" applyAlignment="1">
      <alignment horizontal="center" vertical="center"/>
    </xf>
    <xf numFmtId="5" fontId="6" fillId="6" borderId="2" xfId="0" applyNumberFormat="1" applyFont="1" applyFill="1" applyBorder="1" applyAlignment="1">
      <alignment horizontal="center" vertical="center"/>
    </xf>
    <xf numFmtId="5" fontId="4" fillId="6" borderId="2" xfId="0" applyNumberFormat="1" applyFont="1" applyFill="1" applyBorder="1" applyAlignment="1">
      <alignment horizontal="center"/>
    </xf>
    <xf numFmtId="5" fontId="4" fillId="16" borderId="0" xfId="0" applyNumberFormat="1" applyFont="1" applyFill="1" applyBorder="1" applyAlignment="1">
      <alignment horizontal="center" vertical="center"/>
    </xf>
    <xf numFmtId="5" fontId="4" fillId="16" borderId="0" xfId="0" applyNumberFormat="1" applyFont="1" applyFill="1" applyBorder="1" applyAlignment="1">
      <alignment horizontal="center"/>
    </xf>
    <xf numFmtId="0" fontId="0" fillId="16" borderId="0" xfId="0" applyFill="1" applyBorder="1" applyAlignment="1">
      <alignment horizontal="center" vertical="center"/>
    </xf>
    <xf numFmtId="0" fontId="0" fillId="16" borderId="0" xfId="0" applyFill="1" applyBorder="1" applyAlignment="1">
      <alignment horizontal="center"/>
    </xf>
    <xf numFmtId="0" fontId="4" fillId="7" borderId="0" xfId="0" applyFont="1" applyFill="1"/>
    <xf numFmtId="0" fontId="4" fillId="7" borderId="0" xfId="0" applyFont="1" applyFill="1" applyBorder="1"/>
    <xf numFmtId="0" fontId="4" fillId="7" borderId="0" xfId="0" applyFont="1" applyFill="1" applyBorder="1" applyAlignment="1">
      <alignment horizontal="center" vertical="center"/>
    </xf>
    <xf numFmtId="10" fontId="4" fillId="7" borderId="0" xfId="0" applyNumberFormat="1" applyFont="1" applyFill="1" applyBorder="1" applyAlignment="1">
      <alignment horizontal="center" vertical="center"/>
    </xf>
    <xf numFmtId="10" fontId="4" fillId="7" borderId="0" xfId="0" applyNumberFormat="1" applyFont="1" applyFill="1" applyBorder="1" applyAlignment="1">
      <alignment horizontal="center"/>
    </xf>
    <xf numFmtId="0" fontId="0" fillId="6" borderId="5" xfId="0" applyFill="1" applyBorder="1"/>
    <xf numFmtId="0" fontId="6" fillId="6" borderId="5" xfId="0" applyFont="1" applyFill="1" applyBorder="1" applyAlignment="1">
      <alignment horizontal="center" vertical="center"/>
    </xf>
    <xf numFmtId="10" fontId="4" fillId="3" borderId="0" xfId="0" applyNumberFormat="1" applyFont="1" applyFill="1" applyAlignment="1">
      <alignment horizontal="center"/>
    </xf>
    <xf numFmtId="0" fontId="4"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vertical="center" wrapText="1"/>
    </xf>
    <xf numFmtId="0" fontId="0" fillId="4" borderId="0" xfId="0" applyFont="1" applyFill="1" applyAlignment="1">
      <alignment horizontal="center" vertical="center"/>
    </xf>
    <xf numFmtId="0" fontId="0" fillId="4" borderId="0" xfId="0" applyFont="1" applyFill="1" applyAlignment="1">
      <alignment vertical="center"/>
    </xf>
    <xf numFmtId="0" fontId="0" fillId="12" borderId="0" xfId="0" applyFont="1" applyFill="1" applyAlignment="1">
      <alignment horizontal="center" vertical="center"/>
    </xf>
    <xf numFmtId="0" fontId="0" fillId="12" borderId="0" xfId="0" applyFont="1" applyFill="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4" fillId="14" borderId="0" xfId="0" applyFont="1" applyFill="1" applyAlignment="1">
      <alignment horizontal="center" vertical="center"/>
    </xf>
    <xf numFmtId="0" fontId="4" fillId="4" borderId="0" xfId="0" applyFont="1" applyFill="1" applyAlignment="1">
      <alignment horizontal="center" vertical="center"/>
    </xf>
    <xf numFmtId="0" fontId="4" fillId="0" borderId="2" xfId="0" applyFont="1" applyFill="1" applyBorder="1" applyAlignment="1">
      <alignment vertical="center"/>
    </xf>
    <xf numFmtId="0" fontId="8" fillId="13" borderId="2" xfId="0" applyFont="1" applyFill="1" applyBorder="1" applyAlignment="1">
      <alignment horizontal="center" vertical="center"/>
    </xf>
    <xf numFmtId="0" fontId="11" fillId="13" borderId="2" xfId="0" applyFont="1" applyFill="1" applyBorder="1" applyAlignment="1">
      <alignment horizontal="center" vertical="center"/>
    </xf>
    <xf numFmtId="44" fontId="4" fillId="0" borderId="4" xfId="0" applyNumberFormat="1" applyFont="1" applyBorder="1" applyAlignment="1">
      <alignment horizontal="center" vertical="center" wrapText="1"/>
    </xf>
    <xf numFmtId="10" fontId="4" fillId="0" borderId="4" xfId="0" applyNumberFormat="1" applyFont="1" applyFill="1" applyBorder="1" applyAlignment="1">
      <alignment horizontal="center" vertical="center"/>
    </xf>
    <xf numFmtId="8" fontId="4" fillId="0" borderId="4" xfId="0" applyNumberFormat="1" applyFont="1" applyFill="1" applyBorder="1" applyAlignment="1">
      <alignment horizontal="center" vertical="center"/>
    </xf>
    <xf numFmtId="167" fontId="4" fillId="0" borderId="4" xfId="0" applyNumberFormat="1" applyFont="1" applyFill="1" applyBorder="1" applyAlignment="1">
      <alignment horizontal="center" vertical="center"/>
    </xf>
    <xf numFmtId="10" fontId="4" fillId="0" borderId="4" xfId="0" applyNumberFormat="1" applyFont="1" applyFill="1" applyBorder="1" applyAlignment="1">
      <alignment horizontal="center" vertical="center" wrapText="1"/>
    </xf>
    <xf numFmtId="168" fontId="4" fillId="0" borderId="4" xfId="0" applyNumberFormat="1" applyFont="1" applyFill="1" applyBorder="1" applyAlignment="1">
      <alignment horizontal="center" vertical="center"/>
    </xf>
    <xf numFmtId="44" fontId="4" fillId="0" borderId="4" xfId="0" applyNumberFormat="1" applyFont="1" applyFill="1" applyBorder="1" applyAlignment="1">
      <alignment horizontal="center" vertical="center"/>
    </xf>
    <xf numFmtId="0" fontId="8" fillId="13" borderId="0" xfId="0" applyFont="1" applyFill="1" applyAlignment="1">
      <alignment vertical="center"/>
    </xf>
    <xf numFmtId="0" fontId="11" fillId="13" borderId="0" xfId="0" applyFont="1" applyFill="1" applyAlignment="1">
      <alignment vertical="center"/>
    </xf>
    <xf numFmtId="0" fontId="11" fillId="13" borderId="0" xfId="0" applyFont="1" applyFill="1" applyAlignment="1">
      <alignment vertical="center" wrapText="1"/>
    </xf>
    <xf numFmtId="166" fontId="4" fillId="17" borderId="4" xfId="1" applyNumberFormat="1" applyFont="1" applyFill="1" applyBorder="1" applyAlignment="1" applyProtection="1">
      <alignment horizontal="center" vertical="center"/>
      <protection locked="0"/>
    </xf>
    <xf numFmtId="0" fontId="4" fillId="17" borderId="4"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17" borderId="4" xfId="0" applyFont="1" applyFill="1" applyBorder="1" applyAlignment="1" applyProtection="1">
      <alignment vertical="center"/>
      <protection locked="0"/>
    </xf>
    <xf numFmtId="166" fontId="4" fillId="0" borderId="4" xfId="0" applyNumberFormat="1" applyFont="1" applyBorder="1" applyAlignment="1">
      <alignment vertical="center" wrapText="1"/>
    </xf>
    <xf numFmtId="0" fontId="4" fillId="17" borderId="4" xfId="0" applyFont="1" applyFill="1" applyBorder="1" applyAlignment="1" applyProtection="1">
      <alignment vertical="center" wrapText="1"/>
      <protection locked="0"/>
    </xf>
    <xf numFmtId="10" fontId="4" fillId="17" borderId="4" xfId="0" applyNumberFormat="1" applyFont="1" applyFill="1" applyBorder="1" applyAlignment="1" applyProtection="1">
      <alignment vertical="center" wrapText="1"/>
      <protection locked="0"/>
    </xf>
    <xf numFmtId="0" fontId="4" fillId="13" borderId="0" xfId="0" applyFont="1" applyFill="1" applyAlignment="1">
      <alignment vertical="center"/>
    </xf>
    <xf numFmtId="0" fontId="4" fillId="13" borderId="0" xfId="0" applyFont="1" applyFill="1" applyAlignment="1">
      <alignment vertical="center" wrapText="1"/>
    </xf>
    <xf numFmtId="168" fontId="4" fillId="17" borderId="4" xfId="4" applyNumberFormat="1" applyFont="1" applyFill="1" applyBorder="1" applyAlignment="1" applyProtection="1">
      <alignment vertical="center" wrapText="1"/>
      <protection locked="0"/>
    </xf>
    <xf numFmtId="0" fontId="4" fillId="0" borderId="0" xfId="0" applyFont="1" applyFill="1" applyBorder="1" applyAlignment="1">
      <alignment vertical="center" wrapText="1"/>
    </xf>
    <xf numFmtId="44" fontId="4" fillId="17" borderId="4" xfId="1" applyFont="1" applyFill="1" applyBorder="1" applyAlignment="1" applyProtection="1">
      <alignment vertical="center" wrapText="1"/>
      <protection locked="0"/>
    </xf>
    <xf numFmtId="0" fontId="6" fillId="0" borderId="0" xfId="0" applyFont="1" applyFill="1" applyAlignment="1">
      <alignment vertical="center" wrapText="1"/>
    </xf>
    <xf numFmtId="0" fontId="4" fillId="0" borderId="4" xfId="0" applyFont="1" applyBorder="1"/>
    <xf numFmtId="0" fontId="6" fillId="0" borderId="4" xfId="0" applyFont="1" applyBorder="1"/>
    <xf numFmtId="168" fontId="4" fillId="0" borderId="4" xfId="4" applyNumberFormat="1" applyFont="1" applyBorder="1"/>
    <xf numFmtId="168" fontId="4" fillId="0" borderId="4" xfId="0" applyNumberFormat="1" applyFont="1" applyBorder="1"/>
    <xf numFmtId="168" fontId="6" fillId="0" borderId="4" xfId="4" applyNumberFormat="1" applyFont="1" applyBorder="1"/>
    <xf numFmtId="0" fontId="4" fillId="0" borderId="4" xfId="0" applyFont="1" applyFill="1" applyBorder="1"/>
    <xf numFmtId="0" fontId="6" fillId="0" borderId="0" xfId="0" applyFont="1" applyBorder="1"/>
    <xf numFmtId="168" fontId="4" fillId="0" borderId="0" xfId="4" applyNumberFormat="1" applyFont="1" applyBorder="1"/>
    <xf numFmtId="0" fontId="4" fillId="0" borderId="0" xfId="0" applyFont="1" applyBorder="1"/>
    <xf numFmtId="0" fontId="6" fillId="0" borderId="4" xfId="0" applyFont="1" applyFill="1" applyBorder="1"/>
    <xf numFmtId="0" fontId="4" fillId="0" borderId="4" xfId="0" applyFont="1" applyBorder="1" applyAlignment="1">
      <alignment wrapText="1"/>
    </xf>
    <xf numFmtId="0" fontId="20" fillId="19" borderId="2" xfId="0" applyFont="1" applyFill="1" applyBorder="1" applyAlignment="1">
      <alignment vertical="center"/>
    </xf>
    <xf numFmtId="0" fontId="21" fillId="19" borderId="2" xfId="0" applyFont="1" applyFill="1" applyBorder="1" applyAlignment="1">
      <alignment horizontal="center" vertical="center"/>
    </xf>
    <xf numFmtId="0" fontId="20" fillId="19" borderId="2" xfId="0" applyFont="1" applyFill="1" applyBorder="1" applyAlignment="1">
      <alignment horizontal="center" vertical="center"/>
    </xf>
    <xf numFmtId="0" fontId="4" fillId="0" borderId="0" xfId="0" applyFont="1" applyFill="1" applyAlignment="1">
      <alignment vertical="center" wrapText="1"/>
    </xf>
    <xf numFmtId="0" fontId="4" fillId="0" borderId="7" xfId="0" applyFont="1" applyBorder="1"/>
    <xf numFmtId="0" fontId="22" fillId="0" borderId="7" xfId="0" applyFont="1" applyBorder="1"/>
    <xf numFmtId="0" fontId="22" fillId="0" borderId="10" xfId="0" applyFont="1" applyBorder="1"/>
    <xf numFmtId="9" fontId="4" fillId="17" borderId="4" xfId="0" applyNumberFormat="1" applyFont="1" applyFill="1" applyBorder="1" applyProtection="1">
      <protection locked="0"/>
    </xf>
    <xf numFmtId="0" fontId="23" fillId="14" borderId="0" xfId="0" applyFont="1" applyFill="1" applyAlignment="1">
      <alignment horizontal="center" vertical="center" wrapText="1"/>
    </xf>
    <xf numFmtId="0" fontId="0" fillId="12" borderId="0" xfId="0" applyFill="1"/>
    <xf numFmtId="0" fontId="4" fillId="0" borderId="0" xfId="0" applyFont="1" applyFill="1" applyAlignment="1">
      <alignment vertical="center" wrapText="1"/>
    </xf>
    <xf numFmtId="0" fontId="0" fillId="0" borderId="0" xfId="0" applyFill="1" applyAlignment="1"/>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Alignment="1">
      <alignment vertical="center" wrapText="1"/>
    </xf>
    <xf numFmtId="0" fontId="26" fillId="13" borderId="2" xfId="0" applyFont="1" applyFill="1" applyBorder="1" applyAlignment="1">
      <alignment vertical="center"/>
    </xf>
    <xf numFmtId="0" fontId="26" fillId="13" borderId="2" xfId="0" applyFont="1" applyFill="1" applyBorder="1" applyAlignment="1">
      <alignment horizontal="center" vertical="center"/>
    </xf>
    <xf numFmtId="0" fontId="28" fillId="0" borderId="0" xfId="0" applyFont="1"/>
    <xf numFmtId="0" fontId="0" fillId="0" borderId="0" xfId="0" applyFont="1" applyAlignment="1">
      <alignment horizontal="right" vertical="center"/>
    </xf>
    <xf numFmtId="8" fontId="0" fillId="17" borderId="4" xfId="0" applyNumberFormat="1" applyFont="1" applyFill="1" applyBorder="1" applyAlignment="1" applyProtection="1">
      <alignment vertical="center"/>
      <protection locked="0"/>
    </xf>
    <xf numFmtId="0" fontId="0" fillId="0" borderId="0" xfId="0" applyFont="1" applyAlignment="1" applyProtection="1">
      <alignment vertical="center"/>
      <protection locked="0"/>
    </xf>
    <xf numFmtId="9" fontId="0" fillId="17" borderId="4" xfId="0" applyNumberFormat="1" applyFont="1" applyFill="1" applyBorder="1" applyAlignment="1" applyProtection="1">
      <alignment vertical="center"/>
      <protection locked="0"/>
    </xf>
    <xf numFmtId="0" fontId="0" fillId="17" borderId="4" xfId="0" applyFont="1" applyFill="1" applyBorder="1" applyAlignment="1" applyProtection="1">
      <alignment vertical="center"/>
      <protection locked="0"/>
    </xf>
    <xf numFmtId="0" fontId="27" fillId="13" borderId="2" xfId="0" applyFont="1" applyFill="1" applyBorder="1" applyAlignment="1">
      <alignment horizontal="center" vertical="center"/>
    </xf>
    <xf numFmtId="0" fontId="0" fillId="0" borderId="0" xfId="0" applyFont="1" applyAlignment="1">
      <alignment horizontal="center" vertical="center" wrapText="1"/>
    </xf>
    <xf numFmtId="0" fontId="0" fillId="17" borderId="4" xfId="0" applyFont="1" applyFill="1" applyBorder="1" applyAlignment="1">
      <alignment horizontal="center" vertical="center"/>
    </xf>
    <xf numFmtId="166" fontId="0" fillId="17" borderId="4" xfId="1" applyNumberFormat="1" applyFont="1" applyFill="1" applyBorder="1" applyAlignment="1" applyProtection="1">
      <alignment horizontal="center" vertical="center"/>
      <protection locked="0"/>
    </xf>
    <xf numFmtId="10" fontId="0" fillId="17" borderId="4" xfId="2" applyNumberFormat="1" applyFont="1" applyFill="1" applyBorder="1" applyAlignment="1" applyProtection="1">
      <alignment horizontal="center" vertical="center"/>
      <protection locked="0"/>
    </xf>
    <xf numFmtId="1" fontId="0" fillId="17" borderId="4" xfId="0" applyNumberFormat="1" applyFont="1" applyFill="1" applyBorder="1" applyAlignment="1" applyProtection="1">
      <alignment horizontal="center" vertical="center"/>
      <protection locked="0"/>
    </xf>
    <xf numFmtId="8" fontId="0" fillId="0" borderId="4" xfId="0" applyNumberFormat="1" applyFont="1" applyBorder="1" applyAlignment="1">
      <alignment horizontal="center" vertical="center"/>
    </xf>
    <xf numFmtId="167" fontId="0" fillId="17" borderId="4" xfId="0" applyNumberFormat="1" applyFont="1" applyFill="1" applyBorder="1" applyAlignment="1" applyProtection="1">
      <alignment horizontal="center" vertical="center"/>
      <protection locked="0"/>
    </xf>
    <xf numFmtId="166" fontId="0" fillId="0" borderId="4" xfId="1" applyNumberFormat="1" applyFont="1" applyBorder="1" applyAlignment="1">
      <alignment horizontal="center" vertical="center"/>
    </xf>
    <xf numFmtId="10" fontId="0" fillId="4" borderId="4" xfId="2" applyNumberFormat="1" applyFont="1" applyFill="1" applyBorder="1" applyAlignment="1">
      <alignment horizontal="center" vertical="center"/>
    </xf>
    <xf numFmtId="44" fontId="0" fillId="0" borderId="0" xfId="1" applyFont="1" applyFill="1" applyBorder="1" applyAlignment="1">
      <alignment horizontal="center" vertical="center"/>
    </xf>
    <xf numFmtId="10" fontId="0" fillId="0" borderId="0" xfId="2"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67" fontId="0" fillId="0" borderId="0" xfId="0" applyNumberFormat="1" applyFont="1" applyFill="1" applyBorder="1" applyAlignment="1">
      <alignment horizontal="center" vertical="center"/>
    </xf>
    <xf numFmtId="0" fontId="19" fillId="0" borderId="0" xfId="0" applyFont="1" applyAlignment="1">
      <alignment vertical="center"/>
    </xf>
    <xf numFmtId="44" fontId="0" fillId="0" borderId="4" xfId="0" applyNumberFormat="1" applyFont="1" applyBorder="1" applyAlignment="1">
      <alignment horizontal="center" vertical="center" wrapText="1"/>
    </xf>
    <xf numFmtId="10" fontId="0" fillId="17" borderId="4" xfId="0" applyNumberFormat="1" applyFont="1" applyFill="1" applyBorder="1" applyAlignment="1" applyProtection="1">
      <alignment horizontal="center" vertical="center" wrapText="1"/>
      <protection locked="0"/>
    </xf>
    <xf numFmtId="0" fontId="0" fillId="17" borderId="4" xfId="0" applyFont="1" applyFill="1" applyBorder="1" applyAlignment="1" applyProtection="1">
      <alignment horizontal="center" vertical="center" wrapText="1"/>
      <protection locked="0"/>
    </xf>
    <xf numFmtId="10" fontId="0" fillId="0" borderId="4" xfId="0" applyNumberFormat="1" applyFont="1" applyBorder="1" applyAlignment="1">
      <alignment horizontal="center" vertical="center" wrapText="1"/>
    </xf>
    <xf numFmtId="168" fontId="0" fillId="17" borderId="4" xfId="4" applyNumberFormat="1" applyFont="1" applyFill="1" applyBorder="1" applyAlignment="1" applyProtection="1">
      <alignment horizontal="center" vertical="center"/>
      <protection locked="0"/>
    </xf>
    <xf numFmtId="44" fontId="0" fillId="17" borderId="4" xfId="1" applyFont="1" applyFill="1" applyBorder="1" applyAlignment="1" applyProtection="1">
      <alignment horizontal="center" vertical="center" wrapText="1"/>
      <protection locked="0"/>
    </xf>
    <xf numFmtId="44"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Alignment="1">
      <alignment vertical="center" wrapText="1"/>
    </xf>
    <xf numFmtId="0" fontId="0" fillId="0" borderId="0" xfId="0" applyFont="1" applyFill="1" applyBorder="1" applyAlignment="1">
      <alignment vertical="center"/>
    </xf>
    <xf numFmtId="0" fontId="0" fillId="0" borderId="8" xfId="0" applyFont="1" applyFill="1" applyBorder="1" applyAlignment="1">
      <alignment vertical="center"/>
    </xf>
    <xf numFmtId="6" fontId="0" fillId="18" borderId="4" xfId="0" applyNumberFormat="1" applyFont="1" applyFill="1" applyBorder="1" applyAlignment="1">
      <alignment vertical="center"/>
    </xf>
    <xf numFmtId="0" fontId="0" fillId="18" borderId="13" xfId="0" applyFont="1" applyFill="1" applyBorder="1" applyAlignment="1">
      <alignment vertical="center"/>
    </xf>
    <xf numFmtId="0" fontId="0" fillId="18" borderId="10" xfId="0" applyFont="1" applyFill="1" applyBorder="1" applyAlignment="1">
      <alignment vertical="center"/>
    </xf>
    <xf numFmtId="0" fontId="0" fillId="18" borderId="12" xfId="0" applyFont="1" applyFill="1" applyBorder="1" applyAlignment="1">
      <alignment vertical="center"/>
    </xf>
    <xf numFmtId="0" fontId="0" fillId="18" borderId="8" xfId="0" applyFont="1" applyFill="1" applyBorder="1" applyAlignment="1">
      <alignment vertical="center"/>
    </xf>
    <xf numFmtId="0" fontId="0" fillId="0" borderId="9" xfId="0" applyFont="1" applyFill="1" applyBorder="1" applyAlignment="1">
      <alignment vertical="center"/>
    </xf>
    <xf numFmtId="0" fontId="0" fillId="18" borderId="11" xfId="0" applyFont="1" applyFill="1" applyBorder="1" applyAlignment="1">
      <alignment vertical="center"/>
    </xf>
    <xf numFmtId="0" fontId="19" fillId="18" borderId="9" xfId="0" applyFont="1" applyFill="1" applyBorder="1" applyAlignment="1">
      <alignment vertical="center"/>
    </xf>
    <xf numFmtId="0" fontId="27" fillId="14" borderId="5" xfId="0" applyFont="1" applyFill="1" applyBorder="1" applyAlignment="1">
      <alignment vertical="center"/>
    </xf>
    <xf numFmtId="0" fontId="26" fillId="14" borderId="7" xfId="0" applyFont="1" applyFill="1" applyBorder="1" applyAlignment="1">
      <alignment vertical="center"/>
    </xf>
    <xf numFmtId="0" fontId="0" fillId="18" borderId="0" xfId="0" applyFont="1" applyFill="1" applyAlignment="1">
      <alignment vertical="center"/>
    </xf>
    <xf numFmtId="0" fontId="0" fillId="18" borderId="9" xfId="0" applyFont="1" applyFill="1" applyBorder="1" applyAlignment="1">
      <alignment vertical="center"/>
    </xf>
    <xf numFmtId="0" fontId="0" fillId="14" borderId="5" xfId="0" applyFont="1" applyFill="1" applyBorder="1" applyAlignment="1">
      <alignment vertical="center"/>
    </xf>
    <xf numFmtId="0" fontId="0" fillId="0" borderId="4" xfId="0" applyFont="1" applyFill="1" applyBorder="1" applyAlignment="1">
      <alignment vertical="center"/>
    </xf>
    <xf numFmtId="0" fontId="19" fillId="0" borderId="0" xfId="0" applyFont="1"/>
    <xf numFmtId="168" fontId="4" fillId="0" borderId="0" xfId="4" applyNumberFormat="1" applyFont="1"/>
    <xf numFmtId="168" fontId="0" fillId="0" borderId="4" xfId="0" applyNumberFormat="1" applyFont="1" applyBorder="1" applyAlignment="1">
      <alignment vertical="center"/>
    </xf>
    <xf numFmtId="168" fontId="0" fillId="0" borderId="4" xfId="4" applyNumberFormat="1" applyFont="1" applyBorder="1" applyAlignment="1">
      <alignment vertical="center"/>
    </xf>
    <xf numFmtId="1" fontId="0" fillId="0" borderId="4" xfId="0" applyNumberFormat="1" applyFont="1" applyBorder="1" applyAlignment="1">
      <alignment vertical="center"/>
    </xf>
    <xf numFmtId="0" fontId="0" fillId="0" borderId="0" xfId="0" applyFont="1" applyBorder="1" applyAlignment="1">
      <alignment vertical="center"/>
    </xf>
    <xf numFmtId="9" fontId="0" fillId="0" borderId="4" xfId="2" applyFont="1" applyBorder="1" applyAlignment="1">
      <alignment vertical="center"/>
    </xf>
    <xf numFmtId="0" fontId="0" fillId="0" borderId="14" xfId="0" applyFont="1" applyFill="1" applyBorder="1" applyAlignment="1">
      <alignment horizontal="center" vertical="center"/>
    </xf>
    <xf numFmtId="0" fontId="19" fillId="0" borderId="0" xfId="0" applyFont="1" applyFill="1" applyAlignment="1">
      <alignment vertical="center"/>
    </xf>
    <xf numFmtId="168" fontId="0" fillId="17" borderId="4" xfId="0" applyNumberFormat="1" applyFont="1" applyFill="1" applyBorder="1" applyAlignment="1" applyProtection="1">
      <alignment vertical="center"/>
      <protection locked="0"/>
    </xf>
    <xf numFmtId="0" fontId="0" fillId="0" borderId="4" xfId="0" applyFont="1" applyBorder="1" applyAlignment="1">
      <alignment vertical="center" wrapText="1"/>
    </xf>
    <xf numFmtId="168" fontId="0" fillId="4" borderId="4" xfId="4" applyNumberFormat="1" applyFont="1" applyFill="1" applyBorder="1" applyAlignment="1">
      <alignment vertical="center" wrapText="1"/>
    </xf>
    <xf numFmtId="0" fontId="0" fillId="0" borderId="4" xfId="0" applyFont="1" applyBorder="1" applyAlignment="1">
      <alignment horizontal="center" vertical="center" wrapText="1"/>
    </xf>
    <xf numFmtId="168" fontId="0" fillId="17" borderId="4" xfId="4" applyNumberFormat="1" applyFont="1" applyFill="1" applyBorder="1" applyAlignment="1" applyProtection="1">
      <alignment vertical="center" wrapText="1"/>
      <protection locked="0"/>
    </xf>
    <xf numFmtId="10" fontId="0" fillId="17" borderId="4" xfId="0" applyNumberFormat="1" applyFont="1" applyFill="1" applyBorder="1" applyAlignment="1" applyProtection="1">
      <alignment vertical="center" wrapText="1"/>
      <protection locked="0"/>
    </xf>
    <xf numFmtId="2" fontId="0" fillId="0" borderId="4" xfId="0" applyNumberFormat="1" applyFont="1" applyBorder="1" applyAlignment="1">
      <alignment vertical="center" wrapText="1"/>
    </xf>
    <xf numFmtId="2" fontId="0" fillId="17" borderId="4" xfId="0" applyNumberFormat="1" applyFont="1" applyFill="1" applyBorder="1" applyAlignment="1" applyProtection="1">
      <alignment vertical="center" wrapText="1"/>
      <protection locked="0"/>
    </xf>
    <xf numFmtId="0" fontId="27" fillId="13" borderId="2" xfId="0" applyFont="1" applyFill="1" applyBorder="1" applyAlignment="1">
      <alignment vertical="center"/>
    </xf>
    <xf numFmtId="0" fontId="29" fillId="13" borderId="2" xfId="0" applyFont="1" applyFill="1" applyBorder="1" applyAlignment="1">
      <alignment vertical="center"/>
    </xf>
    <xf numFmtId="0" fontId="27" fillId="13" borderId="2" xfId="0" applyFont="1" applyFill="1" applyBorder="1" applyAlignment="1">
      <alignment vertical="center" wrapText="1"/>
    </xf>
    <xf numFmtId="10" fontId="0" fillId="17" borderId="4" xfId="0" applyNumberFormat="1" applyFont="1" applyFill="1" applyBorder="1" applyAlignment="1" applyProtection="1">
      <alignment vertical="center"/>
      <protection locked="0"/>
    </xf>
    <xf numFmtId="0" fontId="0" fillId="17" borderId="4" xfId="0" applyFont="1" applyFill="1" applyBorder="1" applyAlignment="1" applyProtection="1">
      <alignment vertical="center" wrapText="1"/>
      <protection locked="0"/>
    </xf>
    <xf numFmtId="0" fontId="0" fillId="0" borderId="4" xfId="0" applyFont="1" applyBorder="1" applyAlignment="1">
      <alignment horizontal="center" vertical="center"/>
    </xf>
    <xf numFmtId="10" fontId="0" fillId="0" borderId="0" xfId="0" applyNumberFormat="1" applyFont="1" applyAlignment="1">
      <alignment vertical="center" wrapText="1"/>
    </xf>
    <xf numFmtId="0" fontId="0" fillId="14" borderId="0" xfId="0" applyFill="1" applyAlignment="1">
      <alignment vertical="center" wrapText="1"/>
    </xf>
    <xf numFmtId="0" fontId="13" fillId="6" borderId="0" xfId="0" applyFont="1" applyFill="1" applyAlignment="1">
      <alignment vertical="center" wrapText="1"/>
    </xf>
    <xf numFmtId="0" fontId="13" fillId="0" borderId="0" xfId="0" applyFont="1" applyAlignment="1">
      <alignment vertical="center" wrapText="1"/>
    </xf>
    <xf numFmtId="0" fontId="13" fillId="10" borderId="0" xfId="0" applyFont="1" applyFill="1" applyAlignment="1">
      <alignment vertical="center" wrapText="1"/>
    </xf>
    <xf numFmtId="0" fontId="13" fillId="0" borderId="0" xfId="0" applyFont="1" applyAlignment="1">
      <alignment horizontal="left" vertical="center" wrapText="1"/>
    </xf>
    <xf numFmtId="0" fontId="14" fillId="8" borderId="0" xfId="0" applyFont="1" applyFill="1" applyAlignment="1">
      <alignment vertical="center" wrapText="1"/>
    </xf>
    <xf numFmtId="0" fontId="0" fillId="6" borderId="0" xfId="0" applyFill="1" applyAlignment="1">
      <alignment vertical="center" wrapText="1"/>
    </xf>
    <xf numFmtId="0" fontId="8" fillId="14" borderId="0" xfId="0" applyFont="1" applyFill="1" applyAlignment="1">
      <alignment horizontal="center" vertical="center" wrapText="1"/>
    </xf>
    <xf numFmtId="0" fontId="8" fillId="0" borderId="0" xfId="0" applyFont="1" applyAlignment="1">
      <alignment vertical="center" wrapText="1"/>
    </xf>
    <xf numFmtId="0" fontId="8" fillId="14" borderId="0" xfId="0" applyFont="1" applyFill="1" applyAlignment="1">
      <alignment horizontal="left" vertical="center" wrapText="1"/>
    </xf>
    <xf numFmtId="0" fontId="4" fillId="14" borderId="0" xfId="0" applyFont="1" applyFill="1" applyAlignment="1">
      <alignment horizontal="left" vertical="center" wrapText="1"/>
    </xf>
    <xf numFmtId="0" fontId="4" fillId="14" borderId="0" xfId="0" applyFont="1" applyFill="1" applyAlignment="1">
      <alignment vertical="center" wrapText="1"/>
    </xf>
    <xf numFmtId="0" fontId="4" fillId="2" borderId="7" xfId="0" applyFont="1" applyFill="1" applyBorder="1" applyAlignment="1">
      <alignment horizontal="center" vertical="center"/>
    </xf>
    <xf numFmtId="0" fontId="0" fillId="2" borderId="6" xfId="0" applyFill="1" applyBorder="1" applyAlignment="1">
      <alignment horizontal="center"/>
    </xf>
    <xf numFmtId="0" fontId="4" fillId="0" borderId="0" xfId="0" applyFont="1" applyFill="1" applyAlignment="1"/>
    <xf numFmtId="0" fontId="0" fillId="0" borderId="0" xfId="0" applyAlignment="1"/>
    <xf numFmtId="0" fontId="0" fillId="0" borderId="0" xfId="0" applyFill="1" applyAlignment="1"/>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6" borderId="0" xfId="0" applyFont="1" applyFill="1" applyAlignment="1">
      <alignment horizontal="left" vertical="center" wrapText="1"/>
    </xf>
    <xf numFmtId="0" fontId="0" fillId="0" borderId="0" xfId="0" applyAlignment="1">
      <alignment wrapText="1"/>
    </xf>
    <xf numFmtId="0" fontId="0" fillId="0" borderId="0" xfId="0" applyAlignment="1">
      <alignment vertical="center" wrapText="1"/>
    </xf>
    <xf numFmtId="0" fontId="8" fillId="14" borderId="0" xfId="0" applyFont="1" applyFill="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6" borderId="0" xfId="0" applyFont="1" applyFill="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6" fillId="2" borderId="2" xfId="0" applyFont="1" applyFill="1" applyBorder="1" applyAlignment="1">
      <alignment horizontal="left" vertical="center" wrapText="1"/>
    </xf>
    <xf numFmtId="0" fontId="0" fillId="0" borderId="2" xfId="0" applyBorder="1" applyAlignment="1">
      <alignment horizontal="left" vertical="center" wrapText="1"/>
    </xf>
    <xf numFmtId="0" fontId="4" fillId="0" borderId="0" xfId="0" applyFont="1" applyFill="1" applyAlignment="1">
      <alignment vertical="center" wrapText="1"/>
    </xf>
    <xf numFmtId="0" fontId="4" fillId="2" borderId="6" xfId="0" applyFont="1" applyFill="1" applyBorder="1" applyAlignment="1">
      <alignment horizontal="center" vertical="center"/>
    </xf>
    <xf numFmtId="0" fontId="0" fillId="2" borderId="6" xfId="0" applyFill="1" applyBorder="1" applyAlignment="1">
      <alignment horizontal="center" vertical="center"/>
    </xf>
    <xf numFmtId="0" fontId="0" fillId="0" borderId="0" xfId="0" applyFill="1" applyAlignment="1">
      <alignment vertical="center" wrapText="1"/>
    </xf>
    <xf numFmtId="0" fontId="4" fillId="6" borderId="0" xfId="0" applyFont="1" applyFill="1" applyAlignment="1">
      <alignment vertical="center" wrapText="1"/>
    </xf>
    <xf numFmtId="0" fontId="0" fillId="6" borderId="0" xfId="0" applyFill="1" applyAlignment="1">
      <alignment wrapText="1"/>
    </xf>
    <xf numFmtId="0" fontId="0" fillId="6" borderId="0" xfId="0" applyFill="1" applyAlignment="1">
      <alignment horizontal="left" vertical="center" wrapText="1"/>
    </xf>
    <xf numFmtId="0" fontId="0" fillId="2" borderId="6" xfId="0" applyFill="1" applyBorder="1" applyAlignment="1">
      <alignment horizontal="center" vertical="center" wrapText="1"/>
    </xf>
    <xf numFmtId="0" fontId="4" fillId="3" borderId="0" xfId="0" applyFont="1" applyFill="1" applyAlignment="1">
      <alignment wrapText="1"/>
    </xf>
    <xf numFmtId="0" fontId="4" fillId="0" borderId="0" xfId="0" applyFont="1" applyAlignment="1">
      <alignment wrapText="1"/>
    </xf>
    <xf numFmtId="10" fontId="4" fillId="3" borderId="0" xfId="0" applyNumberFormat="1" applyFont="1" applyFill="1" applyAlignment="1">
      <alignment horizontal="left" vertical="center" wrapText="1"/>
    </xf>
    <xf numFmtId="0" fontId="4" fillId="3" borderId="0" xfId="0" applyFont="1" applyFill="1" applyAlignment="1">
      <alignment horizontal="left" vertical="center" wrapText="1"/>
    </xf>
    <xf numFmtId="0" fontId="0" fillId="0" borderId="0" xfId="0" applyAlignment="1">
      <alignment vertical="center"/>
    </xf>
    <xf numFmtId="0" fontId="0" fillId="3" borderId="0" xfId="0" applyFill="1" applyAlignment="1">
      <alignment vertical="center" wrapText="1"/>
    </xf>
    <xf numFmtId="0" fontId="4" fillId="6" borderId="5" xfId="0" applyFont="1" applyFill="1" applyBorder="1" applyAlignment="1"/>
    <xf numFmtId="0" fontId="0" fillId="6" borderId="5" xfId="0" applyFill="1" applyBorder="1" applyAlignment="1"/>
    <xf numFmtId="0" fontId="19" fillId="0" borderId="0" xfId="0" applyFont="1" applyAlignment="1">
      <alignment vertical="center" wrapText="1"/>
    </xf>
    <xf numFmtId="0" fontId="0" fillId="0" borderId="0" xfId="0" applyFont="1" applyAlignment="1">
      <alignment vertical="center" wrapText="1"/>
    </xf>
    <xf numFmtId="0" fontId="0" fillId="0" borderId="12" xfId="0" applyFont="1" applyBorder="1" applyAlignment="1">
      <alignment vertical="center" wrapText="1"/>
    </xf>
    <xf numFmtId="0" fontId="6" fillId="0" borderId="0" xfId="0" applyFont="1" applyAlignment="1">
      <alignment vertical="center" wrapText="1"/>
    </xf>
    <xf numFmtId="44" fontId="0" fillId="0" borderId="0" xfId="0" applyNumberFormat="1" applyFont="1" applyFill="1" applyBorder="1" applyAlignment="1">
      <alignment vertical="center" wrapText="1"/>
    </xf>
    <xf numFmtId="0" fontId="4" fillId="0" borderId="0" xfId="0" applyFont="1" applyAlignment="1">
      <alignment horizontal="left"/>
    </xf>
    <xf numFmtId="0" fontId="0" fillId="17" borderId="7" xfId="0" applyFill="1" applyBorder="1" applyAlignment="1" applyProtection="1">
      <alignment wrapText="1"/>
      <protection locked="0"/>
    </xf>
    <xf numFmtId="0" fontId="0" fillId="17" borderId="5" xfId="0" applyFill="1" applyBorder="1" applyAlignment="1" applyProtection="1">
      <alignment wrapText="1"/>
      <protection locked="0"/>
    </xf>
    <xf numFmtId="0" fontId="0" fillId="17" borderId="6" xfId="0" applyFill="1" applyBorder="1" applyAlignment="1" applyProtection="1">
      <alignment wrapText="1"/>
      <protection locked="0"/>
    </xf>
    <xf numFmtId="0" fontId="0" fillId="0" borderId="8" xfId="0" applyFont="1" applyBorder="1" applyAlignment="1">
      <alignment vertical="center" wrapText="1"/>
    </xf>
    <xf numFmtId="0" fontId="0" fillId="0" borderId="0" xfId="0" applyFont="1" applyFill="1" applyAlignment="1">
      <alignment vertical="center" wrapText="1"/>
    </xf>
    <xf numFmtId="0" fontId="0" fillId="0" borderId="4" xfId="0" applyFont="1" applyBorder="1" applyAlignment="1">
      <alignment horizontal="center" vertical="center" wrapText="1"/>
    </xf>
    <xf numFmtId="0" fontId="0" fillId="0" borderId="4" xfId="0" applyFont="1" applyBorder="1" applyAlignment="1">
      <alignment vertical="center" wrapText="1"/>
    </xf>
    <xf numFmtId="0" fontId="0" fillId="4" borderId="4" xfId="0" applyFont="1" applyFill="1" applyBorder="1" applyAlignment="1">
      <alignment horizontal="center" vertical="center" wrapText="1"/>
    </xf>
    <xf numFmtId="0" fontId="0" fillId="4" borderId="4" xfId="0" applyFont="1" applyFill="1" applyBorder="1" applyAlignment="1">
      <alignment vertical="center" wrapText="1"/>
    </xf>
    <xf numFmtId="0" fontId="24" fillId="14" borderId="0" xfId="0" applyFont="1" applyFill="1" applyAlignment="1">
      <alignment horizontal="left" vertical="center" wrapText="1"/>
    </xf>
    <xf numFmtId="0" fontId="25" fillId="14" borderId="0" xfId="0" applyFont="1" applyFill="1" applyAlignment="1">
      <alignment horizontal="left" vertical="center" wrapText="1"/>
    </xf>
    <xf numFmtId="0" fontId="8" fillId="0" borderId="0" xfId="0" applyFont="1" applyAlignment="1">
      <alignment horizontal="left" vertical="center" wrapText="1"/>
    </xf>
    <xf numFmtId="0" fontId="4" fillId="0" borderId="12" xfId="0" applyFont="1" applyBorder="1" applyAlignment="1">
      <alignment vertical="center" wrapText="1"/>
    </xf>
  </cellXfs>
  <cellStyles count="5">
    <cellStyle name="Comma" xfId="4" builtinId="3"/>
    <cellStyle name="Currency" xfId="1" builtinId="4"/>
    <cellStyle name="Normal" xfId="0" builtinId="0"/>
    <cellStyle name="Normal 2" xfId="3"/>
    <cellStyle name="Percent" xfId="2" builtinId="5"/>
  </cellStyles>
  <dxfs count="10">
    <dxf>
      <font>
        <color theme="1"/>
      </font>
      <fill>
        <patternFill patternType="solid">
          <fgColor indexed="64"/>
          <bgColor theme="1"/>
        </patternFill>
      </fill>
    </dxf>
    <dxf>
      <font>
        <color theme="1"/>
      </font>
      <fill>
        <patternFill patternType="solid">
          <fgColor indexed="64"/>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patternType="solid">
          <fgColor indexed="64"/>
          <bgColor theme="1"/>
        </patternFill>
      </fill>
    </dxf>
    <dxf>
      <font>
        <color theme="1"/>
      </font>
      <fill>
        <patternFill patternType="solid">
          <fgColor indexed="64"/>
          <bgColor theme="1"/>
        </patternFill>
      </fill>
    </dxf>
    <dxf>
      <font>
        <color auto="1"/>
      </font>
      <fill>
        <patternFill patternType="solid">
          <fgColor indexed="64"/>
          <bgColor theme="1"/>
        </patternFill>
      </fill>
    </dxf>
    <dxf>
      <font>
        <color auto="1"/>
      </font>
      <fill>
        <patternFill patternType="solid">
          <fgColor indexed="64"/>
          <bgColor theme="1"/>
        </patternFill>
      </fill>
    </dxf>
    <dxf>
      <font>
        <color theme="1"/>
      </font>
      <fill>
        <patternFill patternType="solid">
          <fgColor indexed="64"/>
          <bgColor theme="1"/>
        </patternFill>
      </fill>
    </dxf>
  </dxfs>
  <tableStyles count="0" defaultTableStyle="TableStyleMedium2" defaultPivotStyle="PivotStyleLight16"/>
  <colors>
    <mruColors>
      <color rgb="FFCC3300"/>
      <color rgb="FFC5F8A8"/>
      <color rgb="FFF3F9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rles\Dropbox\MIT\CHART_2_6.30.16_Mission%20and%20Metrics%20ver1pt9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M2FPC_ver1pt94for%20CHART%202%20CORRECTED.CD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harles\Dropbox\MIT\chopCHART_2_6.30.16_Mission%20and%20Metrics%20ver1pt9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harles/Dropbox/MIT/chopCHART_2_6.30.16_Mission%20and%20Metrics%20ver1pt9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hiba\AppData\Local\Microsoft\Windows\Temporary%20Internet%20Files\Content.MSO\MM2FPC_ver1pt94for%20CHART%202%20CORRECTED.C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y Platform"/>
      <sheetName val="Product Design"/>
      <sheetName val="Program design"/>
      <sheetName val="Program Operations"/>
      <sheetName val="Summary Portfolios"/>
      <sheetName val="Level PMT calcs"/>
      <sheetName val="Balloon calcs"/>
      <sheetName val="Bullet calcs"/>
      <sheetName val="Fixed principal quarterly"/>
      <sheetName val="IO to Equal Qtrly calcs"/>
      <sheetName val="Notes"/>
    </sheetNames>
    <sheetDataSet>
      <sheetData sheetId="0"/>
      <sheetData sheetId="1">
        <row r="13">
          <cell r="E13">
            <v>250000</v>
          </cell>
        </row>
        <row r="21">
          <cell r="E21" t="str">
            <v>Amount of the Loan</v>
          </cell>
          <cell r="F21" t="str">
            <v xml:space="preserve">Annual Interest Rate </v>
          </cell>
          <cell r="G21" t="str">
            <v>PMI if applicable (%)</v>
          </cell>
          <cell r="H21" t="str">
            <v>Term in Months</v>
          </cell>
          <cell r="I21" t="str">
            <v>Monthly Payment</v>
          </cell>
          <cell r="J21" t="str">
            <v>Borrower Credit Score</v>
          </cell>
          <cell r="K21" t="str">
            <v>Maximum Borrower LTV</v>
          </cell>
          <cell r="L21" t="str">
            <v>Debt Service to Income</v>
          </cell>
          <cell r="M21" t="str">
            <v>Borrower Annual Income $</v>
          </cell>
          <cell r="N21" t="str">
            <v>Borrower Equity Required %</v>
          </cell>
          <cell r="O21" t="str">
            <v>Borrower Equity Required $</v>
          </cell>
        </row>
        <row r="23">
          <cell r="F23">
            <v>0.04</v>
          </cell>
          <cell r="G23">
            <v>6.0000000000000001E-3</v>
          </cell>
          <cell r="H23">
            <v>360</v>
          </cell>
          <cell r="I23">
            <v>1281.6109205244741</v>
          </cell>
          <cell r="J23">
            <v>600</v>
          </cell>
          <cell r="K23">
            <v>0.99502487562189057</v>
          </cell>
          <cell r="L23">
            <v>0.45233326606746144</v>
          </cell>
          <cell r="M23">
            <v>34000</v>
          </cell>
          <cell r="N23">
            <v>4.9751243781094526E-3</v>
          </cell>
          <cell r="O23">
            <v>1250</v>
          </cell>
        </row>
      </sheetData>
      <sheetData sheetId="2"/>
      <sheetData sheetId="3"/>
      <sheetData sheetId="4">
        <row r="35">
          <cell r="B35">
            <v>1975000</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y Platform"/>
      <sheetName val="Product Design"/>
      <sheetName val="Program design"/>
      <sheetName val="Program Operations"/>
      <sheetName val="Summary Portfolios"/>
      <sheetName val="Level PMT calcs"/>
      <sheetName val="Balloon calcs"/>
      <sheetName val="Bullet calcs"/>
      <sheetName val="Fixed principal quarterly"/>
      <sheetName val="IO to Equal Qtrly calcs"/>
      <sheetName val="Notes"/>
    </sheetNames>
    <sheetDataSet>
      <sheetData sheetId="0">
        <row r="16">
          <cell r="E16">
            <v>0</v>
          </cell>
        </row>
      </sheetData>
      <sheetData sheetId="1">
        <row r="21">
          <cell r="E21" t="str">
            <v>Amount of the Loan</v>
          </cell>
          <cell r="F21" t="str">
            <v xml:space="preserve">Annual Interest Rate </v>
          </cell>
          <cell r="G21" t="str">
            <v>PMI if applicable (%)</v>
          </cell>
          <cell r="H21" t="str">
            <v>Term in Months</v>
          </cell>
          <cell r="I21" t="str">
            <v>Monthly Payment</v>
          </cell>
          <cell r="J21" t="str">
            <v>Borrower Credit Score</v>
          </cell>
          <cell r="K21" t="str">
            <v>Maximum Borrower LTV</v>
          </cell>
          <cell r="L21" t="str">
            <v>Debt Service to Income</v>
          </cell>
          <cell r="M21" t="str">
            <v>Borrower Annual Income $</v>
          </cell>
          <cell r="N21" t="str">
            <v>Borrower Equity Required %</v>
          </cell>
          <cell r="O21" t="str">
            <v>Borrower Equity Required $</v>
          </cell>
        </row>
        <row r="23">
          <cell r="E23">
            <v>250000</v>
          </cell>
          <cell r="F23">
            <v>0.04</v>
          </cell>
          <cell r="G23">
            <v>6.0000000000000001E-3</v>
          </cell>
          <cell r="H23">
            <v>360</v>
          </cell>
          <cell r="I23">
            <v>1281.6109205244741</v>
          </cell>
          <cell r="J23">
            <v>600</v>
          </cell>
          <cell r="K23">
            <v>0.99502487562189057</v>
          </cell>
          <cell r="L23">
            <v>0.45233326606746144</v>
          </cell>
          <cell r="M23">
            <v>34000</v>
          </cell>
          <cell r="N23">
            <v>4.9751243781094526E-3</v>
          </cell>
          <cell r="O23">
            <v>1250</v>
          </cell>
        </row>
      </sheetData>
      <sheetData sheetId="2">
        <row r="31">
          <cell r="E31">
            <v>2016</v>
          </cell>
          <cell r="F31">
            <v>2017</v>
          </cell>
          <cell r="G31">
            <v>2018</v>
          </cell>
          <cell r="H31">
            <v>2019</v>
          </cell>
          <cell r="I31">
            <v>2020</v>
          </cell>
          <cell r="J31">
            <v>2021</v>
          </cell>
          <cell r="K31">
            <v>2022</v>
          </cell>
          <cell r="L31">
            <v>2023</v>
          </cell>
          <cell r="M31">
            <v>2024</v>
          </cell>
          <cell r="N31">
            <v>2025</v>
          </cell>
        </row>
        <row r="32">
          <cell r="E32">
            <v>500</v>
          </cell>
          <cell r="F32">
            <v>1500</v>
          </cell>
          <cell r="G32">
            <v>5000</v>
          </cell>
          <cell r="H32">
            <v>7500</v>
          </cell>
          <cell r="I32">
            <v>10000</v>
          </cell>
          <cell r="J32">
            <v>10000</v>
          </cell>
          <cell r="K32">
            <v>10500</v>
          </cell>
          <cell r="L32">
            <v>8000</v>
          </cell>
          <cell r="M32">
            <v>7500</v>
          </cell>
          <cell r="N32">
            <v>9500</v>
          </cell>
        </row>
        <row r="33">
          <cell r="E33">
            <v>125000000</v>
          </cell>
          <cell r="F33">
            <v>375000000</v>
          </cell>
          <cell r="G33">
            <v>1250000000</v>
          </cell>
          <cell r="H33">
            <v>1875000000</v>
          </cell>
          <cell r="I33">
            <v>2500000000</v>
          </cell>
          <cell r="J33">
            <v>2500000000</v>
          </cell>
          <cell r="K33">
            <v>2625000000</v>
          </cell>
          <cell r="L33">
            <v>2000000000</v>
          </cell>
          <cell r="M33">
            <v>1875000000</v>
          </cell>
          <cell r="N33">
            <v>2375000000</v>
          </cell>
        </row>
        <row r="46">
          <cell r="E46">
            <v>1.7500000000000002E-2</v>
          </cell>
          <cell r="F46">
            <v>0.02</v>
          </cell>
          <cell r="G46">
            <v>2.2499999999999999E-2</v>
          </cell>
          <cell r="H46">
            <v>0.04</v>
          </cell>
          <cell r="I46">
            <v>3.7499999999999999E-2</v>
          </cell>
          <cell r="J46">
            <v>0.02</v>
          </cell>
          <cell r="K46">
            <v>2.5000000000000001E-2</v>
          </cell>
          <cell r="L46">
            <v>2.5000000000000001E-2</v>
          </cell>
          <cell r="M46">
            <v>4.2500000000000003E-2</v>
          </cell>
          <cell r="N46">
            <v>4.2500000000000003E-2</v>
          </cell>
        </row>
        <row r="89">
          <cell r="E89">
            <v>0.02</v>
          </cell>
          <cell r="F89">
            <v>0.02</v>
          </cell>
          <cell r="G89">
            <v>0.02</v>
          </cell>
          <cell r="H89">
            <v>0.02</v>
          </cell>
          <cell r="I89">
            <v>0.02</v>
          </cell>
          <cell r="J89">
            <v>0.02</v>
          </cell>
          <cell r="K89">
            <v>0.02</v>
          </cell>
          <cell r="L89">
            <v>0.02</v>
          </cell>
          <cell r="M89">
            <v>0.02</v>
          </cell>
          <cell r="N89">
            <v>0.02</v>
          </cell>
        </row>
      </sheetData>
      <sheetData sheetId="3"/>
      <sheetData sheetId="4">
        <row r="159">
          <cell r="B159">
            <v>1</v>
          </cell>
        </row>
        <row r="160">
          <cell r="B160">
            <v>0</v>
          </cell>
        </row>
        <row r="161">
          <cell r="B161">
            <v>0</v>
          </cell>
        </row>
        <row r="162">
          <cell r="B162">
            <v>0</v>
          </cell>
        </row>
        <row r="163">
          <cell r="B163">
            <v>0</v>
          </cell>
        </row>
      </sheetData>
      <sheetData sheetId="5">
        <row r="7">
          <cell r="C7">
            <v>0</v>
          </cell>
          <cell r="D7">
            <v>0</v>
          </cell>
          <cell r="E7">
            <v>0</v>
          </cell>
          <cell r="F7">
            <v>0</v>
          </cell>
          <cell r="G7">
            <v>0</v>
          </cell>
          <cell r="H7">
            <v>0</v>
          </cell>
          <cell r="I7">
            <v>0</v>
          </cell>
          <cell r="J7">
            <v>0</v>
          </cell>
          <cell r="K7">
            <v>0</v>
          </cell>
          <cell r="L7">
            <v>0</v>
          </cell>
        </row>
        <row r="8">
          <cell r="C8">
            <v>2500000</v>
          </cell>
          <cell r="D8">
            <v>7500000</v>
          </cell>
          <cell r="E8">
            <v>25000000</v>
          </cell>
          <cell r="F8">
            <v>37500000</v>
          </cell>
          <cell r="G8">
            <v>50000000</v>
          </cell>
          <cell r="H8">
            <v>50000000</v>
          </cell>
          <cell r="I8">
            <v>52500000</v>
          </cell>
          <cell r="J8">
            <v>40000000</v>
          </cell>
          <cell r="K8">
            <v>37500000</v>
          </cell>
          <cell r="L8">
            <v>47500000</v>
          </cell>
        </row>
        <row r="9">
          <cell r="C9">
            <v>0</v>
          </cell>
          <cell r="D9">
            <v>0</v>
          </cell>
          <cell r="E9">
            <v>0</v>
          </cell>
          <cell r="F9">
            <v>0</v>
          </cell>
          <cell r="G9">
            <v>0</v>
          </cell>
          <cell r="H9">
            <v>0</v>
          </cell>
          <cell r="I9">
            <v>0</v>
          </cell>
          <cell r="J9">
            <v>0</v>
          </cell>
          <cell r="K9">
            <v>0</v>
          </cell>
          <cell r="L9">
            <v>0</v>
          </cell>
        </row>
        <row r="10">
          <cell r="C10">
            <v>0</v>
          </cell>
          <cell r="D10">
            <v>0</v>
          </cell>
          <cell r="E10">
            <v>0</v>
          </cell>
          <cell r="F10">
            <v>0</v>
          </cell>
          <cell r="G10">
            <v>0</v>
          </cell>
          <cell r="H10">
            <v>0</v>
          </cell>
          <cell r="I10">
            <v>0</v>
          </cell>
          <cell r="J10">
            <v>0</v>
          </cell>
          <cell r="K10">
            <v>0</v>
          </cell>
          <cell r="L10">
            <v>0</v>
          </cell>
        </row>
        <row r="11">
          <cell r="C11">
            <v>0</v>
          </cell>
          <cell r="D11">
            <v>0</v>
          </cell>
          <cell r="E11">
            <v>0</v>
          </cell>
          <cell r="F11">
            <v>0</v>
          </cell>
          <cell r="G11">
            <v>0</v>
          </cell>
          <cell r="H11">
            <v>0</v>
          </cell>
          <cell r="I11">
            <v>0</v>
          </cell>
          <cell r="J11">
            <v>0</v>
          </cell>
          <cell r="K11">
            <v>0</v>
          </cell>
          <cell r="L11">
            <v>0</v>
          </cell>
        </row>
        <row r="12">
          <cell r="C12">
            <v>0</v>
          </cell>
          <cell r="D12">
            <v>1855.0297418553498</v>
          </cell>
          <cell r="E12">
            <v>29840.08044903072</v>
          </cell>
          <cell r="F12">
            <v>150621.53596134987</v>
          </cell>
          <cell r="G12">
            <v>460425.51880409406</v>
          </cell>
          <cell r="H12">
            <v>1000882.6027416296</v>
          </cell>
          <cell r="I12">
            <v>1763765.0379821283</v>
          </cell>
          <cell r="J12">
            <v>2588538.1639175992</v>
          </cell>
          <cell r="K12">
            <v>3254293.82129726</v>
          </cell>
          <cell r="L12">
            <v>3563017.5051240604</v>
          </cell>
        </row>
        <row r="13">
          <cell r="C13">
            <v>0</v>
          </cell>
          <cell r="D13">
            <v>48646.107997759565</v>
          </cell>
          <cell r="E13">
            <v>671539.74732907815</v>
          </cell>
          <cell r="F13">
            <v>3042222.1370155388</v>
          </cell>
          <cell r="G13">
            <v>8771802.7225643769</v>
          </cell>
          <cell r="H13">
            <v>18879326.799635135</v>
          </cell>
          <cell r="I13">
            <v>33252112.903967805</v>
          </cell>
          <cell r="J13">
            <v>49484333.040823266</v>
          </cell>
          <cell r="K13">
            <v>63779915.605417617</v>
          </cell>
          <cell r="L13">
            <v>72834943.221330076</v>
          </cell>
        </row>
        <row r="15">
          <cell r="C15">
            <v>0</v>
          </cell>
          <cell r="D15">
            <v>353665.04434846033</v>
          </cell>
          <cell r="E15">
            <v>4124334.9792145607</v>
          </cell>
          <cell r="F15">
            <v>15201942.546064753</v>
          </cell>
          <cell r="G15">
            <v>36087596.385304928</v>
          </cell>
          <cell r="H15">
            <v>67232468.857059628</v>
          </cell>
          <cell r="I15">
            <v>102648649.89583862</v>
          </cell>
          <cell r="J15">
            <v>132444128.59653963</v>
          </cell>
          <cell r="K15">
            <v>146418266.0044772</v>
          </cell>
          <cell r="L15">
            <v>144896539.64733753</v>
          </cell>
        </row>
        <row r="17">
          <cell r="C17">
            <v>0</v>
          </cell>
          <cell r="D17">
            <v>0</v>
          </cell>
          <cell r="E17">
            <v>0</v>
          </cell>
          <cell r="F17">
            <v>0</v>
          </cell>
          <cell r="G17">
            <v>0</v>
          </cell>
          <cell r="H17">
            <v>0</v>
          </cell>
          <cell r="I17">
            <v>0</v>
          </cell>
          <cell r="J17">
            <v>0</v>
          </cell>
          <cell r="K17">
            <v>0</v>
          </cell>
          <cell r="L17">
            <v>0</v>
          </cell>
        </row>
        <row r="19">
          <cell r="C19">
            <v>0</v>
          </cell>
          <cell r="D19">
            <v>0</v>
          </cell>
          <cell r="E19">
            <v>0</v>
          </cell>
          <cell r="F19">
            <v>0</v>
          </cell>
          <cell r="G19">
            <v>0</v>
          </cell>
          <cell r="H19">
            <v>0</v>
          </cell>
          <cell r="I19">
            <v>0</v>
          </cell>
          <cell r="J19">
            <v>0</v>
          </cell>
          <cell r="K19">
            <v>0</v>
          </cell>
          <cell r="L19">
            <v>0</v>
          </cell>
        </row>
        <row r="20">
          <cell r="C20">
            <v>0</v>
          </cell>
          <cell r="D20">
            <v>0</v>
          </cell>
          <cell r="E20">
            <v>0</v>
          </cell>
          <cell r="F20">
            <v>0</v>
          </cell>
          <cell r="G20">
            <v>0</v>
          </cell>
          <cell r="H20">
            <v>0</v>
          </cell>
          <cell r="I20">
            <v>0</v>
          </cell>
          <cell r="J20">
            <v>0</v>
          </cell>
          <cell r="K20">
            <v>0</v>
          </cell>
          <cell r="L20">
            <v>0</v>
          </cell>
        </row>
        <row r="21">
          <cell r="C21">
            <v>0</v>
          </cell>
          <cell r="D21">
            <v>0</v>
          </cell>
          <cell r="E21">
            <v>0</v>
          </cell>
          <cell r="F21">
            <v>0</v>
          </cell>
          <cell r="G21">
            <v>0</v>
          </cell>
          <cell r="H21">
            <v>0</v>
          </cell>
          <cell r="I21">
            <v>0</v>
          </cell>
          <cell r="J21">
            <v>0</v>
          </cell>
          <cell r="K21">
            <v>0</v>
          </cell>
          <cell r="L21">
            <v>0</v>
          </cell>
        </row>
        <row r="22">
          <cell r="C22">
            <v>0</v>
          </cell>
          <cell r="D22">
            <v>0</v>
          </cell>
          <cell r="E22">
            <v>0</v>
          </cell>
          <cell r="F22">
            <v>0</v>
          </cell>
          <cell r="G22">
            <v>0</v>
          </cell>
          <cell r="H22">
            <v>0</v>
          </cell>
          <cell r="I22">
            <v>0</v>
          </cell>
          <cell r="J22">
            <v>0</v>
          </cell>
          <cell r="K22">
            <v>0</v>
          </cell>
          <cell r="L22">
            <v>0</v>
          </cell>
        </row>
        <row r="24">
          <cell r="C24">
            <v>0</v>
          </cell>
          <cell r="D24">
            <v>0</v>
          </cell>
          <cell r="E24">
            <v>0</v>
          </cell>
          <cell r="F24">
            <v>0</v>
          </cell>
          <cell r="G24">
            <v>0</v>
          </cell>
          <cell r="H24">
            <v>0</v>
          </cell>
          <cell r="I24">
            <v>0</v>
          </cell>
          <cell r="J24">
            <v>0</v>
          </cell>
          <cell r="K24">
            <v>0</v>
          </cell>
          <cell r="L24">
            <v>0</v>
          </cell>
        </row>
        <row r="25">
          <cell r="C25">
            <v>0</v>
          </cell>
          <cell r="D25">
            <v>0</v>
          </cell>
          <cell r="E25">
            <v>0</v>
          </cell>
          <cell r="F25">
            <v>0</v>
          </cell>
          <cell r="G25">
            <v>0</v>
          </cell>
          <cell r="H25">
            <v>0</v>
          </cell>
          <cell r="I25">
            <v>0</v>
          </cell>
          <cell r="J25">
            <v>0</v>
          </cell>
          <cell r="K25">
            <v>0</v>
          </cell>
          <cell r="L25">
            <v>0</v>
          </cell>
        </row>
        <row r="26">
          <cell r="C26">
            <v>0</v>
          </cell>
          <cell r="D26">
            <v>0</v>
          </cell>
          <cell r="E26">
            <v>0</v>
          </cell>
          <cell r="F26">
            <v>0</v>
          </cell>
          <cell r="G26">
            <v>0</v>
          </cell>
          <cell r="H26">
            <v>0</v>
          </cell>
          <cell r="I26">
            <v>0</v>
          </cell>
          <cell r="J26">
            <v>0</v>
          </cell>
          <cell r="K26">
            <v>0</v>
          </cell>
          <cell r="L26">
            <v>0</v>
          </cell>
        </row>
        <row r="30">
          <cell r="C30">
            <v>0</v>
          </cell>
          <cell r="D30">
            <v>270733.16794367239</v>
          </cell>
          <cell r="E30">
            <v>3245995.1544940723</v>
          </cell>
          <cell r="F30">
            <v>13226945.936238244</v>
          </cell>
          <cell r="G30">
            <v>34234445.598465122</v>
          </cell>
          <cell r="H30">
            <v>69000487.186724558</v>
          </cell>
          <cell r="I30">
            <v>114465183.87130137</v>
          </cell>
          <cell r="J30">
            <v>161846885.90255129</v>
          </cell>
          <cell r="K30">
            <v>198710998.74336851</v>
          </cell>
          <cell r="L30">
            <v>218652948.85003191</v>
          </cell>
        </row>
        <row r="32">
          <cell r="C32">
            <v>0</v>
          </cell>
          <cell r="D32">
            <v>0</v>
          </cell>
          <cell r="E32">
            <v>0</v>
          </cell>
          <cell r="F32">
            <v>0</v>
          </cell>
          <cell r="G32">
            <v>0</v>
          </cell>
          <cell r="H32">
            <v>0</v>
          </cell>
          <cell r="I32">
            <v>0</v>
          </cell>
          <cell r="J32">
            <v>0</v>
          </cell>
          <cell r="K32">
            <v>0</v>
          </cell>
          <cell r="L32">
            <v>0</v>
          </cell>
        </row>
        <row r="34">
          <cell r="C34">
            <v>0</v>
          </cell>
          <cell r="D34">
            <v>0</v>
          </cell>
          <cell r="E34">
            <v>0</v>
          </cell>
          <cell r="F34">
            <v>0</v>
          </cell>
          <cell r="G34">
            <v>0</v>
          </cell>
          <cell r="H34">
            <v>0</v>
          </cell>
          <cell r="I34">
            <v>0</v>
          </cell>
          <cell r="J34">
            <v>0</v>
          </cell>
          <cell r="K34">
            <v>0</v>
          </cell>
          <cell r="L34">
            <v>0</v>
          </cell>
        </row>
        <row r="35">
          <cell r="C35">
            <v>0</v>
          </cell>
          <cell r="D35">
            <v>0</v>
          </cell>
          <cell r="E35">
            <v>0</v>
          </cell>
          <cell r="F35">
            <v>0</v>
          </cell>
          <cell r="G35">
            <v>0</v>
          </cell>
          <cell r="H35">
            <v>0</v>
          </cell>
          <cell r="I35">
            <v>0</v>
          </cell>
          <cell r="J35">
            <v>0</v>
          </cell>
          <cell r="K35">
            <v>0</v>
          </cell>
          <cell r="L35">
            <v>0</v>
          </cell>
        </row>
        <row r="37">
          <cell r="C37">
            <v>496.88280273925778</v>
          </cell>
          <cell r="D37">
            <v>1971.4609802482398</v>
          </cell>
          <cell r="E37">
            <v>6875.0566337530563</v>
          </cell>
          <cell r="F37">
            <v>14157.077116950135</v>
          </cell>
          <cell r="G37">
            <v>23604.880933919227</v>
          </cell>
          <cell r="H37">
            <v>32131.714998524509</v>
          </cell>
          <cell r="I37">
            <v>39373.00849021248</v>
          </cell>
          <cell r="J37">
            <v>41111.161674703319</v>
          </cell>
          <cell r="K37">
            <v>40032.064994500659</v>
          </cell>
          <cell r="L37">
            <v>39569.60218211481</v>
          </cell>
        </row>
        <row r="81">
          <cell r="C81">
            <v>109997304.03966682</v>
          </cell>
          <cell r="D81">
            <v>413475441.48646528</v>
          </cell>
          <cell r="E81">
            <v>1408420576.7255445</v>
          </cell>
          <cell r="F81">
            <v>2706343574.8667688</v>
          </cell>
          <cell r="G81">
            <v>4177390901.3336387</v>
          </cell>
          <cell r="H81">
            <v>5144941549.5938387</v>
          </cell>
          <cell r="I81">
            <v>5763847578.4166946</v>
          </cell>
          <cell r="J81">
            <v>5490447382.6110907</v>
          </cell>
          <cell r="K81">
            <v>5053597957.8371286</v>
          </cell>
          <cell r="L81">
            <v>5164725966.594429</v>
          </cell>
        </row>
        <row r="82">
          <cell r="C82">
            <v>496.88280273925778</v>
          </cell>
          <cell r="D82">
            <v>1971.4609802482398</v>
          </cell>
          <cell r="E82">
            <v>6875.0566337530563</v>
          </cell>
          <cell r="F82">
            <v>14157.077116950135</v>
          </cell>
          <cell r="G82">
            <v>23604.880933919227</v>
          </cell>
          <cell r="H82">
            <v>32131.714998524509</v>
          </cell>
          <cell r="I82">
            <v>39373.00849021248</v>
          </cell>
          <cell r="J82">
            <v>41111.161674703319</v>
          </cell>
          <cell r="K82">
            <v>40032.064994500659</v>
          </cell>
          <cell r="L82">
            <v>39569.60218211481</v>
          </cell>
        </row>
        <row r="84">
          <cell r="C84">
            <v>14630780.93873122</v>
          </cell>
          <cell r="D84">
            <v>67184701.848744303</v>
          </cell>
          <cell r="E84">
            <v>239068464.97174424</v>
          </cell>
          <cell r="F84">
            <v>539127197.64804554</v>
          </cell>
          <cell r="G84">
            <v>958250845.61176634</v>
          </cell>
          <cell r="H84">
            <v>1424503781.6206126</v>
          </cell>
          <cell r="I84">
            <v>1866815403.1219366</v>
          </cell>
          <cell r="J84">
            <v>2119426390.833456</v>
          </cell>
          <cell r="K84">
            <v>2159475870.9434853</v>
          </cell>
          <cell r="L84">
            <v>2116905200.0077097</v>
          </cell>
        </row>
        <row r="86">
          <cell r="C86">
            <v>2920457.7647157367</v>
          </cell>
          <cell r="D86">
            <v>13203310.209020557</v>
          </cell>
          <cell r="E86">
            <v>48117525.262391195</v>
          </cell>
          <cell r="F86">
            <v>123496618.72883943</v>
          </cell>
          <cell r="G86">
            <v>219255419.52056479</v>
          </cell>
          <cell r="H86">
            <v>272343648.73210037</v>
          </cell>
          <cell r="I86">
            <v>297236230.18457699</v>
          </cell>
          <cell r="J86">
            <v>291639858.70317125</v>
          </cell>
          <cell r="K86">
            <v>284810155.45601368</v>
          </cell>
          <cell r="L86">
            <v>308217582.97276187</v>
          </cell>
        </row>
        <row r="89">
          <cell r="C89">
            <v>3125000</v>
          </cell>
          <cell r="D89">
            <v>9375000</v>
          </cell>
          <cell r="E89">
            <v>31250000</v>
          </cell>
          <cell r="F89">
            <v>46875000</v>
          </cell>
          <cell r="G89">
            <v>62500000</v>
          </cell>
          <cell r="H89">
            <v>62500000</v>
          </cell>
          <cell r="I89">
            <v>65625000</v>
          </cell>
          <cell r="J89">
            <v>50000000</v>
          </cell>
          <cell r="K89">
            <v>46875000</v>
          </cell>
          <cell r="L89">
            <v>59375000</v>
          </cell>
        </row>
        <row r="90">
          <cell r="C90">
            <v>0</v>
          </cell>
          <cell r="D90">
            <v>0</v>
          </cell>
          <cell r="E90">
            <v>0</v>
          </cell>
          <cell r="F90">
            <v>0</v>
          </cell>
          <cell r="G90">
            <v>0</v>
          </cell>
          <cell r="H90">
            <v>0</v>
          </cell>
          <cell r="I90">
            <v>0</v>
          </cell>
          <cell r="J90">
            <v>0</v>
          </cell>
          <cell r="K90">
            <v>0</v>
          </cell>
          <cell r="L90">
            <v>0</v>
          </cell>
        </row>
        <row r="91">
          <cell r="C91">
            <v>0</v>
          </cell>
          <cell r="D91">
            <v>0</v>
          </cell>
          <cell r="E91">
            <v>0</v>
          </cell>
          <cell r="F91">
            <v>0</v>
          </cell>
          <cell r="G91">
            <v>0</v>
          </cell>
          <cell r="H91">
            <v>0</v>
          </cell>
          <cell r="I91">
            <v>0</v>
          </cell>
          <cell r="J91">
            <v>0</v>
          </cell>
          <cell r="K91">
            <v>0</v>
          </cell>
          <cell r="L91">
            <v>0</v>
          </cell>
        </row>
        <row r="92">
          <cell r="C92">
            <v>0</v>
          </cell>
          <cell r="D92">
            <v>0</v>
          </cell>
          <cell r="E92">
            <v>0</v>
          </cell>
          <cell r="F92">
            <v>0</v>
          </cell>
          <cell r="G92">
            <v>0</v>
          </cell>
          <cell r="H92">
            <v>0</v>
          </cell>
          <cell r="I92">
            <v>0</v>
          </cell>
          <cell r="J92">
            <v>0</v>
          </cell>
          <cell r="K92">
            <v>0</v>
          </cell>
          <cell r="L92">
            <v>0</v>
          </cell>
        </row>
        <row r="94">
          <cell r="C94">
            <v>371915.02160195593</v>
          </cell>
          <cell r="D94">
            <v>4337160.7044572877</v>
          </cell>
          <cell r="E94">
            <v>15986399.789176619</v>
          </cell>
          <cell r="F94">
            <v>37949804.210730389</v>
          </cell>
          <cell r="G94">
            <v>70701827.921363309</v>
          </cell>
          <cell r="H94">
            <v>107945570.11918794</v>
          </cell>
          <cell r="I94">
            <v>139278568.0552054</v>
          </cell>
          <cell r="J94">
            <v>153973804.97214848</v>
          </cell>
          <cell r="K94">
            <v>152373553.83047715</v>
          </cell>
          <cell r="L94">
            <v>146966791.23498952</v>
          </cell>
        </row>
        <row r="95">
          <cell r="C95">
            <v>9325.626727646084</v>
          </cell>
          <cell r="D95">
            <v>126211.91389654922</v>
          </cell>
          <cell r="E95">
            <v>531447.74594548834</v>
          </cell>
          <cell r="F95">
            <v>1427182.1198483882</v>
          </cell>
          <cell r="G95">
            <v>2833400.4664963284</v>
          </cell>
          <cell r="H95">
            <v>4619313.1424733624</v>
          </cell>
          <cell r="I95">
            <v>6297309.5487094019</v>
          </cell>
          <cell r="J95">
            <v>7362308.4718317129</v>
          </cell>
          <cell r="K95">
            <v>7553377.3393288581</v>
          </cell>
          <cell r="L95">
            <v>5500105.8495406974</v>
          </cell>
        </row>
        <row r="96">
          <cell r="C96">
            <v>0</v>
          </cell>
          <cell r="D96">
            <v>353665.04434846033</v>
          </cell>
          <cell r="E96">
            <v>4124334.9792145607</v>
          </cell>
          <cell r="F96">
            <v>15201942.546064753</v>
          </cell>
          <cell r="G96">
            <v>36087596.385304928</v>
          </cell>
          <cell r="H96">
            <v>67232468.857059628</v>
          </cell>
          <cell r="I96">
            <v>102648649.89583862</v>
          </cell>
          <cell r="J96">
            <v>132444128.59653963</v>
          </cell>
          <cell r="K96">
            <v>146418266.0044772</v>
          </cell>
          <cell r="L96">
            <v>144896539.64733753</v>
          </cell>
        </row>
        <row r="97">
          <cell r="C97">
            <v>362589.39487430983</v>
          </cell>
          <cell r="D97">
            <v>3857283.746212278</v>
          </cell>
          <cell r="E97">
            <v>11330617.064016569</v>
          </cell>
          <cell r="F97">
            <v>21320679.544817246</v>
          </cell>
          <cell r="G97">
            <v>31780831.069562055</v>
          </cell>
          <cell r="H97">
            <v>36093788.119654939</v>
          </cell>
          <cell r="I97">
            <v>30332608.610657379</v>
          </cell>
          <cell r="J97">
            <v>14167367.903777122</v>
          </cell>
          <cell r="K97">
            <v>-1598089.5133289099</v>
          </cell>
          <cell r="L97">
            <v>-3429854.2618887126</v>
          </cell>
        </row>
      </sheetData>
      <sheetData sheetId="6">
        <row r="7">
          <cell r="C7">
            <v>0</v>
          </cell>
          <cell r="D7">
            <v>0</v>
          </cell>
          <cell r="E7">
            <v>0</v>
          </cell>
          <cell r="F7">
            <v>0</v>
          </cell>
          <cell r="G7">
            <v>0</v>
          </cell>
          <cell r="H7">
            <v>0</v>
          </cell>
          <cell r="I7">
            <v>0</v>
          </cell>
          <cell r="J7">
            <v>0</v>
          </cell>
          <cell r="K7">
            <v>0</v>
          </cell>
          <cell r="L7">
            <v>0</v>
          </cell>
        </row>
        <row r="8">
          <cell r="C8">
            <v>2500000</v>
          </cell>
          <cell r="D8">
            <v>7500000</v>
          </cell>
          <cell r="E8">
            <v>25000000</v>
          </cell>
          <cell r="F8">
            <v>37500000</v>
          </cell>
          <cell r="G8">
            <v>50000000</v>
          </cell>
          <cell r="H8">
            <v>50000000</v>
          </cell>
          <cell r="I8">
            <v>52500000</v>
          </cell>
          <cell r="J8">
            <v>40000000</v>
          </cell>
          <cell r="K8">
            <v>37500000</v>
          </cell>
          <cell r="L8">
            <v>47500000</v>
          </cell>
        </row>
        <row r="9">
          <cell r="C9">
            <v>0</v>
          </cell>
          <cell r="D9">
            <v>0</v>
          </cell>
          <cell r="E9">
            <v>0</v>
          </cell>
          <cell r="F9">
            <v>0</v>
          </cell>
          <cell r="G9">
            <v>0</v>
          </cell>
          <cell r="H9">
            <v>0</v>
          </cell>
          <cell r="I9">
            <v>0</v>
          </cell>
          <cell r="J9">
            <v>0</v>
          </cell>
          <cell r="K9">
            <v>0</v>
          </cell>
          <cell r="L9">
            <v>0</v>
          </cell>
        </row>
        <row r="10">
          <cell r="C10">
            <v>0</v>
          </cell>
          <cell r="D10">
            <v>0</v>
          </cell>
          <cell r="E10">
            <v>0</v>
          </cell>
          <cell r="F10">
            <v>0</v>
          </cell>
          <cell r="G10">
            <v>0</v>
          </cell>
          <cell r="H10">
            <v>0</v>
          </cell>
          <cell r="I10">
            <v>0</v>
          </cell>
          <cell r="J10">
            <v>0</v>
          </cell>
          <cell r="K10">
            <v>0</v>
          </cell>
          <cell r="L10">
            <v>0</v>
          </cell>
        </row>
        <row r="11">
          <cell r="C11">
            <v>0</v>
          </cell>
          <cell r="D11">
            <v>0</v>
          </cell>
          <cell r="E11">
            <v>0</v>
          </cell>
          <cell r="F11">
            <v>0</v>
          </cell>
          <cell r="G11">
            <v>0</v>
          </cell>
          <cell r="H11">
            <v>0</v>
          </cell>
          <cell r="I11">
            <v>0</v>
          </cell>
          <cell r="J11">
            <v>0</v>
          </cell>
          <cell r="K11">
            <v>0</v>
          </cell>
          <cell r="L11">
            <v>0</v>
          </cell>
        </row>
        <row r="12">
          <cell r="C12">
            <v>0</v>
          </cell>
          <cell r="D12">
            <v>1855.0297418553498</v>
          </cell>
          <cell r="E12">
            <v>29840.08044903072</v>
          </cell>
          <cell r="F12">
            <v>150621.53596134987</v>
          </cell>
          <cell r="G12">
            <v>460425.51880409406</v>
          </cell>
          <cell r="H12">
            <v>1000882.6027416296</v>
          </cell>
          <cell r="I12">
            <v>1763765.0379821283</v>
          </cell>
          <cell r="J12">
            <v>2588538.1639175992</v>
          </cell>
          <cell r="K12">
            <v>3254293.82129726</v>
          </cell>
          <cell r="L12">
            <v>3563017.5051240604</v>
          </cell>
        </row>
        <row r="13">
          <cell r="C13">
            <v>0</v>
          </cell>
          <cell r="D13">
            <v>48646.107997759565</v>
          </cell>
          <cell r="E13">
            <v>671539.74732907815</v>
          </cell>
          <cell r="F13">
            <v>3042222.1370155388</v>
          </cell>
          <cell r="G13">
            <v>8771802.7225643769</v>
          </cell>
          <cell r="H13">
            <v>18879326.799635135</v>
          </cell>
          <cell r="I13">
            <v>33252112.903967805</v>
          </cell>
          <cell r="J13">
            <v>49484333.040823266</v>
          </cell>
          <cell r="K13">
            <v>63779915.605417617</v>
          </cell>
          <cell r="L13">
            <v>72834943.221330076</v>
          </cell>
        </row>
        <row r="15">
          <cell r="C15">
            <v>0</v>
          </cell>
          <cell r="D15">
            <v>353665.04434846033</v>
          </cell>
          <cell r="E15">
            <v>4124334.9792145607</v>
          </cell>
          <cell r="F15">
            <v>15201942.546064753</v>
          </cell>
          <cell r="G15">
            <v>36087596.385304928</v>
          </cell>
          <cell r="H15">
            <v>67232468.857059628</v>
          </cell>
          <cell r="I15">
            <v>102648649.89583862</v>
          </cell>
          <cell r="J15">
            <v>132444128.59653963</v>
          </cell>
          <cell r="K15">
            <v>146418266.0044772</v>
          </cell>
          <cell r="L15">
            <v>144896539.64733753</v>
          </cell>
        </row>
        <row r="17">
          <cell r="C17">
            <v>0</v>
          </cell>
          <cell r="D17">
            <v>0</v>
          </cell>
          <cell r="E17">
            <v>0</v>
          </cell>
          <cell r="F17">
            <v>0</v>
          </cell>
          <cell r="G17">
            <v>0</v>
          </cell>
          <cell r="H17">
            <v>0</v>
          </cell>
          <cell r="I17">
            <v>0</v>
          </cell>
          <cell r="J17">
            <v>0</v>
          </cell>
          <cell r="K17">
            <v>0</v>
          </cell>
          <cell r="L17">
            <v>0</v>
          </cell>
        </row>
        <row r="18">
          <cell r="C18">
            <v>0</v>
          </cell>
          <cell r="D18">
            <v>0</v>
          </cell>
          <cell r="E18">
            <v>0</v>
          </cell>
          <cell r="F18">
            <v>0</v>
          </cell>
          <cell r="G18">
            <v>0</v>
          </cell>
          <cell r="H18">
            <v>0</v>
          </cell>
          <cell r="I18">
            <v>0</v>
          </cell>
          <cell r="J18">
            <v>0</v>
          </cell>
          <cell r="K18">
            <v>0</v>
          </cell>
          <cell r="L18">
            <v>0</v>
          </cell>
        </row>
        <row r="19">
          <cell r="C19">
            <v>0</v>
          </cell>
          <cell r="D19">
            <v>0</v>
          </cell>
          <cell r="E19">
            <v>0</v>
          </cell>
          <cell r="F19">
            <v>0</v>
          </cell>
          <cell r="G19">
            <v>0</v>
          </cell>
          <cell r="H19">
            <v>0</v>
          </cell>
          <cell r="I19">
            <v>0</v>
          </cell>
          <cell r="J19">
            <v>0</v>
          </cell>
          <cell r="K19">
            <v>0</v>
          </cell>
          <cell r="L19">
            <v>0</v>
          </cell>
        </row>
        <row r="20">
          <cell r="C20">
            <v>0</v>
          </cell>
          <cell r="D20">
            <v>0</v>
          </cell>
          <cell r="E20">
            <v>0</v>
          </cell>
          <cell r="F20">
            <v>0</v>
          </cell>
          <cell r="G20">
            <v>0</v>
          </cell>
          <cell r="H20">
            <v>0</v>
          </cell>
          <cell r="I20">
            <v>0</v>
          </cell>
          <cell r="J20">
            <v>0</v>
          </cell>
          <cell r="K20">
            <v>0</v>
          </cell>
          <cell r="L20">
            <v>0</v>
          </cell>
        </row>
        <row r="22">
          <cell r="C22">
            <v>0</v>
          </cell>
          <cell r="D22">
            <v>0</v>
          </cell>
          <cell r="E22">
            <v>0</v>
          </cell>
          <cell r="F22">
            <v>0</v>
          </cell>
          <cell r="G22">
            <v>0</v>
          </cell>
          <cell r="H22">
            <v>0</v>
          </cell>
          <cell r="I22">
            <v>0</v>
          </cell>
          <cell r="J22">
            <v>0</v>
          </cell>
          <cell r="K22">
            <v>0</v>
          </cell>
          <cell r="L22">
            <v>0</v>
          </cell>
        </row>
        <row r="23">
          <cell r="C23">
            <v>0</v>
          </cell>
          <cell r="D23">
            <v>0</v>
          </cell>
          <cell r="E23">
            <v>0</v>
          </cell>
          <cell r="F23">
            <v>0</v>
          </cell>
          <cell r="G23">
            <v>0</v>
          </cell>
          <cell r="H23">
            <v>0</v>
          </cell>
          <cell r="I23">
            <v>0</v>
          </cell>
          <cell r="J23">
            <v>0</v>
          </cell>
          <cell r="K23">
            <v>0</v>
          </cell>
          <cell r="L23">
            <v>0</v>
          </cell>
        </row>
        <row r="24">
          <cell r="C24">
            <v>0</v>
          </cell>
          <cell r="D24">
            <v>0</v>
          </cell>
          <cell r="E24">
            <v>0</v>
          </cell>
          <cell r="F24">
            <v>0</v>
          </cell>
          <cell r="G24">
            <v>0</v>
          </cell>
          <cell r="H24">
            <v>0</v>
          </cell>
          <cell r="I24">
            <v>0</v>
          </cell>
          <cell r="J24">
            <v>0</v>
          </cell>
          <cell r="K24">
            <v>0</v>
          </cell>
          <cell r="L24">
            <v>0</v>
          </cell>
        </row>
        <row r="26">
          <cell r="C26">
            <v>0</v>
          </cell>
          <cell r="D26">
            <v>270733.16794367239</v>
          </cell>
          <cell r="E26">
            <v>3245995.1544940723</v>
          </cell>
          <cell r="F26">
            <v>13226945.936238244</v>
          </cell>
          <cell r="G26">
            <v>34234445.598465122</v>
          </cell>
          <cell r="H26">
            <v>69000487.186724558</v>
          </cell>
          <cell r="I26">
            <v>114465183.87130137</v>
          </cell>
          <cell r="J26">
            <v>161846885.90255129</v>
          </cell>
          <cell r="K26">
            <v>198710998.74336851</v>
          </cell>
          <cell r="L26">
            <v>218652948.85003191</v>
          </cell>
        </row>
        <row r="28">
          <cell r="C28">
            <v>0</v>
          </cell>
          <cell r="D28">
            <v>0</v>
          </cell>
          <cell r="E28">
            <v>0</v>
          </cell>
          <cell r="F28">
            <v>0</v>
          </cell>
          <cell r="G28">
            <v>0</v>
          </cell>
          <cell r="H28">
            <v>0</v>
          </cell>
          <cell r="I28">
            <v>0</v>
          </cell>
          <cell r="J28">
            <v>0</v>
          </cell>
          <cell r="K28">
            <v>0</v>
          </cell>
          <cell r="L28">
            <v>0</v>
          </cell>
        </row>
        <row r="31">
          <cell r="C31">
            <v>496.88280273925778</v>
          </cell>
          <cell r="D31">
            <v>1971.4609802482398</v>
          </cell>
          <cell r="E31">
            <v>6875.0566337530563</v>
          </cell>
          <cell r="F31">
            <v>14157.077116950135</v>
          </cell>
          <cell r="G31">
            <v>23604.880933919227</v>
          </cell>
          <cell r="H31">
            <v>32131.714998524509</v>
          </cell>
          <cell r="I31">
            <v>39373.00849021248</v>
          </cell>
          <cell r="J31">
            <v>41111.161674703319</v>
          </cell>
          <cell r="K31">
            <v>40032.064994500659</v>
          </cell>
          <cell r="L31">
            <v>39569.60218211481</v>
          </cell>
        </row>
        <row r="69">
          <cell r="C69">
            <v>109997304.03966682</v>
          </cell>
          <cell r="D69">
            <v>413475441.48646528</v>
          </cell>
          <cell r="E69">
            <v>1408420576.7255445</v>
          </cell>
          <cell r="F69">
            <v>2706343574.8667688</v>
          </cell>
          <cell r="G69">
            <v>4177390901.3336387</v>
          </cell>
          <cell r="H69">
            <v>5144941549.5938387</v>
          </cell>
          <cell r="I69">
            <v>5763847578.4166946</v>
          </cell>
          <cell r="J69">
            <v>5490447382.6110907</v>
          </cell>
          <cell r="K69">
            <v>5053597957.8371286</v>
          </cell>
          <cell r="L69">
            <v>5164725966.594429</v>
          </cell>
        </row>
        <row r="70">
          <cell r="C70">
            <v>496.88280273925778</v>
          </cell>
          <cell r="D70">
            <v>1971.4609802482398</v>
          </cell>
          <cell r="E70">
            <v>6875.0566337530563</v>
          </cell>
          <cell r="F70">
            <v>14157.077116950135</v>
          </cell>
          <cell r="G70">
            <v>23604.880933919227</v>
          </cell>
          <cell r="H70">
            <v>32131.714998524509</v>
          </cell>
          <cell r="I70">
            <v>39373.00849021248</v>
          </cell>
          <cell r="J70">
            <v>41111.161674703319</v>
          </cell>
          <cell r="K70">
            <v>40032.064994500659</v>
          </cell>
          <cell r="L70">
            <v>39569.60218211481</v>
          </cell>
        </row>
        <row r="72">
          <cell r="C72">
            <v>14630780.93873122</v>
          </cell>
          <cell r="D72">
            <v>67184701.848744303</v>
          </cell>
          <cell r="E72">
            <v>239068464.97174424</v>
          </cell>
          <cell r="F72">
            <v>539127197.64804554</v>
          </cell>
          <cell r="G72">
            <v>958250845.61176634</v>
          </cell>
          <cell r="H72">
            <v>1424503781.6206126</v>
          </cell>
          <cell r="I72">
            <v>1866815403.1219366</v>
          </cell>
          <cell r="J72">
            <v>2119426390.833456</v>
          </cell>
          <cell r="K72">
            <v>2159475870.9434853</v>
          </cell>
          <cell r="L72">
            <v>2116905200.0077097</v>
          </cell>
        </row>
        <row r="74">
          <cell r="C74">
            <v>2920457.7647157367</v>
          </cell>
          <cell r="D74">
            <v>13203310.209020557</v>
          </cell>
          <cell r="E74">
            <v>48117525.262391195</v>
          </cell>
          <cell r="F74">
            <v>123496618.72883943</v>
          </cell>
          <cell r="G74">
            <v>219255488.11955532</v>
          </cell>
          <cell r="H74">
            <v>272344072.0327549</v>
          </cell>
          <cell r="I74">
            <v>297237659.8505705</v>
          </cell>
          <cell r="J74">
            <v>291643863.20324188</v>
          </cell>
          <cell r="K74">
            <v>284817333.67238337</v>
          </cell>
          <cell r="L74">
            <v>308225452.89164424</v>
          </cell>
        </row>
        <row r="77">
          <cell r="C77">
            <v>3125000</v>
          </cell>
          <cell r="D77">
            <v>9375000</v>
          </cell>
          <cell r="E77">
            <v>31250000</v>
          </cell>
          <cell r="F77">
            <v>46875000</v>
          </cell>
          <cell r="G77">
            <v>62500000</v>
          </cell>
          <cell r="H77">
            <v>62500000</v>
          </cell>
          <cell r="I77">
            <v>65625000</v>
          </cell>
          <cell r="J77">
            <v>50000000</v>
          </cell>
          <cell r="K77">
            <v>46875000</v>
          </cell>
          <cell r="L77">
            <v>59375000</v>
          </cell>
        </row>
        <row r="78">
          <cell r="C78">
            <v>0</v>
          </cell>
          <cell r="D78">
            <v>0</v>
          </cell>
          <cell r="E78">
            <v>0</v>
          </cell>
          <cell r="F78">
            <v>0</v>
          </cell>
          <cell r="G78">
            <v>0</v>
          </cell>
          <cell r="H78">
            <v>0</v>
          </cell>
          <cell r="I78">
            <v>0</v>
          </cell>
          <cell r="J78">
            <v>0</v>
          </cell>
          <cell r="K78">
            <v>0</v>
          </cell>
          <cell r="L78">
            <v>0</v>
          </cell>
        </row>
        <row r="79">
          <cell r="C79">
            <v>0</v>
          </cell>
          <cell r="D79">
            <v>0</v>
          </cell>
          <cell r="E79">
            <v>0</v>
          </cell>
          <cell r="F79">
            <v>0</v>
          </cell>
          <cell r="G79">
            <v>0</v>
          </cell>
          <cell r="H79">
            <v>0</v>
          </cell>
          <cell r="I79">
            <v>0</v>
          </cell>
          <cell r="J79">
            <v>0</v>
          </cell>
          <cell r="K79">
            <v>0</v>
          </cell>
          <cell r="L79">
            <v>0</v>
          </cell>
        </row>
        <row r="80">
          <cell r="C80">
            <v>0</v>
          </cell>
          <cell r="D80">
            <v>0</v>
          </cell>
          <cell r="E80">
            <v>0</v>
          </cell>
          <cell r="F80">
            <v>0</v>
          </cell>
          <cell r="G80">
            <v>0</v>
          </cell>
          <cell r="H80">
            <v>0</v>
          </cell>
          <cell r="I80">
            <v>0</v>
          </cell>
          <cell r="J80">
            <v>0</v>
          </cell>
          <cell r="K80">
            <v>0</v>
          </cell>
          <cell r="L80">
            <v>0</v>
          </cell>
        </row>
        <row r="82">
          <cell r="C82">
            <v>371915.02160195593</v>
          </cell>
          <cell r="D82">
            <v>4337160.7044572877</v>
          </cell>
          <cell r="E82">
            <v>15986399.789176619</v>
          </cell>
          <cell r="F82">
            <v>37949804.210730389</v>
          </cell>
          <cell r="G82">
            <v>70701827.921363309</v>
          </cell>
          <cell r="H82">
            <v>107945570.11918794</v>
          </cell>
          <cell r="I82">
            <v>139278568.0552054</v>
          </cell>
          <cell r="J82">
            <v>153973804.97214848</v>
          </cell>
          <cell r="K82">
            <v>152373553.83047715</v>
          </cell>
          <cell r="L82">
            <v>146966791.23498952</v>
          </cell>
        </row>
        <row r="83">
          <cell r="C83">
            <v>9325.626727646084</v>
          </cell>
          <cell r="D83">
            <v>126211.91389654922</v>
          </cell>
          <cell r="E83">
            <v>531447.74594548834</v>
          </cell>
          <cell r="F83">
            <v>1427182.1198483882</v>
          </cell>
          <cell r="G83">
            <v>2833400.4664963284</v>
          </cell>
          <cell r="H83">
            <v>4619313.1424733624</v>
          </cell>
          <cell r="I83">
            <v>6297309.5487094019</v>
          </cell>
          <cell r="J83">
            <v>7362308.4718317129</v>
          </cell>
          <cell r="K83">
            <v>7553377.3393288581</v>
          </cell>
          <cell r="L83">
            <v>5500105.8495406974</v>
          </cell>
        </row>
        <row r="84">
          <cell r="C84">
            <v>0</v>
          </cell>
          <cell r="D84">
            <v>353665.04434846033</v>
          </cell>
          <cell r="E84">
            <v>4124334.9792145607</v>
          </cell>
          <cell r="F84">
            <v>15201942.546064753</v>
          </cell>
          <cell r="G84">
            <v>36087596.385304928</v>
          </cell>
          <cell r="H84">
            <v>67232468.857059628</v>
          </cell>
          <cell r="I84">
            <v>102648649.89583862</v>
          </cell>
          <cell r="J84">
            <v>132444128.59653963</v>
          </cell>
          <cell r="K84">
            <v>146418266.0044772</v>
          </cell>
          <cell r="L84">
            <v>144896539.64733753</v>
          </cell>
        </row>
        <row r="85">
          <cell r="C85">
            <v>362589.39487430989</v>
          </cell>
          <cell r="D85">
            <v>3857283.746212278</v>
          </cell>
          <cell r="E85">
            <v>11330617.064016569</v>
          </cell>
          <cell r="F85">
            <v>21320679.54481725</v>
          </cell>
          <cell r="G85">
            <v>31780831.069562055</v>
          </cell>
          <cell r="H85">
            <v>36093788.119654946</v>
          </cell>
          <cell r="I85">
            <v>30332608.610657386</v>
          </cell>
          <cell r="J85">
            <v>14167367.903777141</v>
          </cell>
          <cell r="K85">
            <v>-1598089.513328895</v>
          </cell>
          <cell r="L85">
            <v>-3429854.2618887126</v>
          </cell>
        </row>
      </sheetData>
      <sheetData sheetId="7">
        <row r="7">
          <cell r="C7">
            <v>0</v>
          </cell>
          <cell r="D7">
            <v>0</v>
          </cell>
          <cell r="E7">
            <v>0</v>
          </cell>
          <cell r="F7">
            <v>0</v>
          </cell>
          <cell r="G7">
            <v>0</v>
          </cell>
          <cell r="H7">
            <v>0</v>
          </cell>
          <cell r="I7">
            <v>0</v>
          </cell>
          <cell r="J7">
            <v>0</v>
          </cell>
          <cell r="K7">
            <v>0</v>
          </cell>
          <cell r="L7">
            <v>0</v>
          </cell>
        </row>
        <row r="8">
          <cell r="C8">
            <v>2500000</v>
          </cell>
          <cell r="D8">
            <v>7500000</v>
          </cell>
          <cell r="E8">
            <v>25000000</v>
          </cell>
          <cell r="F8">
            <v>37500000</v>
          </cell>
          <cell r="G8">
            <v>50000000</v>
          </cell>
          <cell r="H8">
            <v>50000000</v>
          </cell>
          <cell r="I8">
            <v>52500000</v>
          </cell>
          <cell r="J8">
            <v>40000000</v>
          </cell>
          <cell r="K8">
            <v>37500000</v>
          </cell>
          <cell r="L8">
            <v>47500000</v>
          </cell>
        </row>
        <row r="9">
          <cell r="C9">
            <v>0</v>
          </cell>
          <cell r="D9">
            <v>0</v>
          </cell>
          <cell r="E9">
            <v>0</v>
          </cell>
          <cell r="F9">
            <v>0</v>
          </cell>
          <cell r="G9">
            <v>0</v>
          </cell>
          <cell r="H9">
            <v>0</v>
          </cell>
          <cell r="I9">
            <v>0</v>
          </cell>
          <cell r="J9">
            <v>0</v>
          </cell>
          <cell r="K9">
            <v>0</v>
          </cell>
          <cell r="L9">
            <v>0</v>
          </cell>
        </row>
        <row r="10">
          <cell r="C10">
            <v>0</v>
          </cell>
          <cell r="D10">
            <v>0</v>
          </cell>
          <cell r="E10">
            <v>0</v>
          </cell>
          <cell r="F10">
            <v>0</v>
          </cell>
          <cell r="G10">
            <v>0</v>
          </cell>
          <cell r="H10">
            <v>0</v>
          </cell>
          <cell r="I10">
            <v>0</v>
          </cell>
          <cell r="J10">
            <v>0</v>
          </cell>
          <cell r="K10">
            <v>0</v>
          </cell>
          <cell r="L10">
            <v>0</v>
          </cell>
        </row>
        <row r="11">
          <cell r="C11">
            <v>0</v>
          </cell>
          <cell r="D11">
            <v>0</v>
          </cell>
          <cell r="E11">
            <v>0</v>
          </cell>
          <cell r="F11">
            <v>0</v>
          </cell>
          <cell r="G11">
            <v>0</v>
          </cell>
          <cell r="H11">
            <v>0</v>
          </cell>
          <cell r="I11">
            <v>0</v>
          </cell>
          <cell r="J11">
            <v>0</v>
          </cell>
          <cell r="K11">
            <v>0</v>
          </cell>
          <cell r="L11">
            <v>0</v>
          </cell>
        </row>
        <row r="12">
          <cell r="C12">
            <v>0</v>
          </cell>
          <cell r="D12">
            <v>1899.8737360444075</v>
          </cell>
          <cell r="E12">
            <v>32463.786094497791</v>
          </cell>
          <cell r="F12">
            <v>172408.57091505846</v>
          </cell>
          <cell r="G12">
            <v>566080.90490599128</v>
          </cell>
          <cell r="H12">
            <v>1359769.7021609768</v>
          </cell>
          <cell r="I12">
            <v>2677261.3209297783</v>
          </cell>
          <cell r="J12">
            <v>4415385.8851563977</v>
          </cell>
          <cell r="K12">
            <v>6129677.149880847</v>
          </cell>
          <cell r="L12">
            <v>7307589.196906345</v>
          </cell>
        </row>
        <row r="13">
          <cell r="C13">
            <v>0</v>
          </cell>
          <cell r="D13">
            <v>50445.702050487744</v>
          </cell>
          <cell r="E13">
            <v>738995.97541696951</v>
          </cell>
          <cell r="F13">
            <v>3517088.345874731</v>
          </cell>
          <cell r="G13">
            <v>10943984.359028004</v>
          </cell>
          <cell r="H13">
            <v>25903686.452539437</v>
          </cell>
          <cell r="I13">
            <v>50717713.098674402</v>
          </cell>
          <cell r="J13">
            <v>83745930.86995858</v>
          </cell>
          <cell r="K13">
            <v>118017713.82228112</v>
          </cell>
          <cell r="L13">
            <v>145300184.95627859</v>
          </cell>
        </row>
        <row r="15">
          <cell r="C15">
            <v>0</v>
          </cell>
          <cell r="D15">
            <v>370529.43664210913</v>
          </cell>
          <cell r="E15">
            <v>4604530.1502019092</v>
          </cell>
          <cell r="F15">
            <v>17948078.214315776</v>
          </cell>
          <cell r="G15">
            <v>47187911.88397038</v>
          </cell>
          <cell r="H15">
            <v>98406029.708474338</v>
          </cell>
          <cell r="I15">
            <v>170817791.1641331</v>
          </cell>
          <cell r="J15">
            <v>245939416.15726763</v>
          </cell>
          <cell r="K15">
            <v>298338489.43145514</v>
          </cell>
          <cell r="L15">
            <v>317519333.31073403</v>
          </cell>
        </row>
        <row r="17">
          <cell r="C17">
            <v>0</v>
          </cell>
          <cell r="D17">
            <v>0</v>
          </cell>
          <cell r="E17">
            <v>0</v>
          </cell>
          <cell r="F17">
            <v>0</v>
          </cell>
          <cell r="G17">
            <v>0</v>
          </cell>
          <cell r="H17">
            <v>0</v>
          </cell>
          <cell r="I17">
            <v>0</v>
          </cell>
          <cell r="J17">
            <v>0</v>
          </cell>
          <cell r="K17">
            <v>0</v>
          </cell>
          <cell r="L17">
            <v>0</v>
          </cell>
        </row>
        <row r="18">
          <cell r="C18">
            <v>0</v>
          </cell>
          <cell r="D18">
            <v>0</v>
          </cell>
          <cell r="E18">
            <v>0</v>
          </cell>
          <cell r="F18">
            <v>0</v>
          </cell>
          <cell r="G18">
            <v>0</v>
          </cell>
          <cell r="H18">
            <v>0</v>
          </cell>
          <cell r="I18">
            <v>0</v>
          </cell>
          <cell r="J18">
            <v>0</v>
          </cell>
          <cell r="K18">
            <v>0</v>
          </cell>
          <cell r="L18">
            <v>0</v>
          </cell>
        </row>
        <row r="19">
          <cell r="C19">
            <v>0</v>
          </cell>
          <cell r="D19">
            <v>0</v>
          </cell>
          <cell r="E19">
            <v>0</v>
          </cell>
          <cell r="F19">
            <v>0</v>
          </cell>
          <cell r="G19">
            <v>0</v>
          </cell>
          <cell r="H19">
            <v>0</v>
          </cell>
          <cell r="I19">
            <v>0</v>
          </cell>
          <cell r="J19">
            <v>0</v>
          </cell>
          <cell r="K19">
            <v>0</v>
          </cell>
          <cell r="L19">
            <v>0</v>
          </cell>
        </row>
        <row r="20">
          <cell r="C20">
            <v>0</v>
          </cell>
          <cell r="D20">
            <v>0</v>
          </cell>
          <cell r="E20">
            <v>0</v>
          </cell>
          <cell r="F20">
            <v>0</v>
          </cell>
          <cell r="G20">
            <v>0</v>
          </cell>
          <cell r="H20">
            <v>0</v>
          </cell>
          <cell r="I20">
            <v>0</v>
          </cell>
          <cell r="J20">
            <v>0</v>
          </cell>
          <cell r="K20">
            <v>0</v>
          </cell>
          <cell r="L20">
            <v>0</v>
          </cell>
        </row>
        <row r="22">
          <cell r="C22">
            <v>0</v>
          </cell>
          <cell r="D22">
            <v>0</v>
          </cell>
          <cell r="E22">
            <v>0</v>
          </cell>
          <cell r="F22">
            <v>0</v>
          </cell>
          <cell r="G22">
            <v>0</v>
          </cell>
          <cell r="H22">
            <v>0</v>
          </cell>
          <cell r="I22">
            <v>0</v>
          </cell>
          <cell r="J22">
            <v>0</v>
          </cell>
          <cell r="K22">
            <v>0</v>
          </cell>
          <cell r="L22">
            <v>0</v>
          </cell>
        </row>
        <row r="23">
          <cell r="C23">
            <v>0</v>
          </cell>
          <cell r="D23">
            <v>0</v>
          </cell>
          <cell r="E23">
            <v>0</v>
          </cell>
          <cell r="F23">
            <v>0</v>
          </cell>
          <cell r="G23">
            <v>0</v>
          </cell>
          <cell r="H23">
            <v>0</v>
          </cell>
          <cell r="I23">
            <v>0</v>
          </cell>
          <cell r="J23">
            <v>0</v>
          </cell>
          <cell r="K23">
            <v>0</v>
          </cell>
          <cell r="L23">
            <v>0</v>
          </cell>
        </row>
        <row r="24">
          <cell r="C24">
            <v>0</v>
          </cell>
          <cell r="D24">
            <v>0</v>
          </cell>
          <cell r="E24">
            <v>0</v>
          </cell>
          <cell r="F24">
            <v>0</v>
          </cell>
          <cell r="G24">
            <v>0</v>
          </cell>
          <cell r="H24">
            <v>0</v>
          </cell>
          <cell r="I24">
            <v>0</v>
          </cell>
          <cell r="J24">
            <v>0</v>
          </cell>
          <cell r="K24">
            <v>0</v>
          </cell>
          <cell r="L24">
            <v>0</v>
          </cell>
        </row>
        <row r="26">
          <cell r="C26">
            <v>0</v>
          </cell>
          <cell r="D26">
            <v>284553.39282191847</v>
          </cell>
          <cell r="E26">
            <v>3624959.7979010474</v>
          </cell>
          <cell r="F26">
            <v>15538815.531510547</v>
          </cell>
          <cell r="G26">
            <v>43920672.578861594</v>
          </cell>
          <cell r="H26">
            <v>97794121.830942556</v>
          </cell>
          <cell r="I26">
            <v>181405129.84302187</v>
          </cell>
          <cell r="J26">
            <v>283352608.66520214</v>
          </cell>
          <cell r="K26">
            <v>378865231.24297452</v>
          </cell>
          <cell r="L26">
            <v>446910000.42967129</v>
          </cell>
        </row>
        <row r="28">
          <cell r="C28">
            <v>0</v>
          </cell>
          <cell r="D28">
            <v>0</v>
          </cell>
          <cell r="E28">
            <v>0</v>
          </cell>
          <cell r="F28">
            <v>0</v>
          </cell>
          <cell r="G28">
            <v>0</v>
          </cell>
          <cell r="H28">
            <v>0</v>
          </cell>
          <cell r="I28">
            <v>0</v>
          </cell>
          <cell r="J28">
            <v>0</v>
          </cell>
          <cell r="K28">
            <v>0</v>
          </cell>
          <cell r="L28">
            <v>0</v>
          </cell>
        </row>
        <row r="31">
          <cell r="C31">
            <v>496.88280273925778</v>
          </cell>
          <cell r="D31">
            <v>1970.3809899212551</v>
          </cell>
          <cell r="E31">
            <v>6865.0953699338952</v>
          </cell>
          <cell r="F31">
            <v>14086.349304889894</v>
          </cell>
          <cell r="G31">
            <v>23389.749601096944</v>
          </cell>
          <cell r="H31">
            <v>31741.301191828221</v>
          </cell>
          <cell r="I31">
            <v>38817.165528984631</v>
          </cell>
          <cell r="J31">
            <v>40485.938142285951</v>
          </cell>
          <cell r="K31">
            <v>39543.010336619242</v>
          </cell>
          <cell r="L31">
            <v>39145.96868503221</v>
          </cell>
        </row>
        <row r="69">
          <cell r="C69">
            <v>124220700.68481445</v>
          </cell>
          <cell r="D69">
            <v>492595247.48031378</v>
          </cell>
          <cell r="E69">
            <v>1716273842.4834738</v>
          </cell>
          <cell r="F69">
            <v>3521587326.2224731</v>
          </cell>
          <cell r="G69">
            <v>5847437400.2742357</v>
          </cell>
          <cell r="H69">
            <v>7935325297.9570532</v>
          </cell>
          <cell r="I69">
            <v>9704291382.2461548</v>
          </cell>
          <cell r="J69">
            <v>10121484535.571491</v>
          </cell>
          <cell r="K69">
            <v>9885752584.1548119</v>
          </cell>
          <cell r="L69">
            <v>9786492171.2580528</v>
          </cell>
        </row>
        <row r="70">
          <cell r="C70">
            <v>496.88280273925778</v>
          </cell>
          <cell r="D70">
            <v>1970.3809899212551</v>
          </cell>
          <cell r="E70">
            <v>6865.0953699338952</v>
          </cell>
          <cell r="F70">
            <v>14086.349304889894</v>
          </cell>
          <cell r="G70">
            <v>23389.749601096944</v>
          </cell>
          <cell r="H70">
            <v>31741.301191828221</v>
          </cell>
          <cell r="I70">
            <v>38817.165528984631</v>
          </cell>
          <cell r="J70">
            <v>40485.938142285951</v>
          </cell>
          <cell r="K70">
            <v>39543.010336619242</v>
          </cell>
          <cell r="L70">
            <v>39145.96868503221</v>
          </cell>
        </row>
        <row r="72">
          <cell r="C72">
            <v>389649.65759277344</v>
          </cell>
          <cell r="D72">
            <v>1783318.0892419796</v>
          </cell>
          <cell r="E72">
            <v>7447162.253715083</v>
          </cell>
          <cell r="F72">
            <v>20063593.24917347</v>
          </cell>
          <cell r="G72">
            <v>70665905.546351671</v>
          </cell>
          <cell r="H72">
            <v>232479697.28873366</v>
          </cell>
          <cell r="I72">
            <v>597403426.96296167</v>
          </cell>
          <cell r="J72">
            <v>1269073364.9108574</v>
          </cell>
          <cell r="K72">
            <v>1776827847.5354149</v>
          </cell>
          <cell r="L72">
            <v>2143990657.9449363</v>
          </cell>
        </row>
        <row r="74">
          <cell r="C74">
            <v>3117197.2607421875</v>
          </cell>
          <cell r="D74">
            <v>14849924.34007166</v>
          </cell>
          <cell r="E74">
            <v>55453325.90121343</v>
          </cell>
          <cell r="F74">
            <v>147929994.28501669</v>
          </cell>
          <cell r="G74">
            <v>280775724.27915668</v>
          </cell>
          <cell r="H74">
            <v>391084002.70099074</v>
          </cell>
          <cell r="I74">
            <v>482979582.22127628</v>
          </cell>
          <cell r="J74">
            <v>533405362.7150448</v>
          </cell>
          <cell r="K74">
            <v>544721813.13699174</v>
          </cell>
          <cell r="L74">
            <v>552989184.8548913</v>
          </cell>
        </row>
        <row r="77">
          <cell r="C77">
            <v>3125000</v>
          </cell>
          <cell r="D77">
            <v>9375000</v>
          </cell>
          <cell r="E77">
            <v>31250000</v>
          </cell>
          <cell r="F77">
            <v>46875000</v>
          </cell>
          <cell r="G77">
            <v>62500000</v>
          </cell>
          <cell r="H77">
            <v>62500000</v>
          </cell>
          <cell r="I77">
            <v>65625000</v>
          </cell>
          <cell r="J77">
            <v>50000000</v>
          </cell>
          <cell r="K77">
            <v>46875000</v>
          </cell>
          <cell r="L77">
            <v>59375000</v>
          </cell>
        </row>
        <row r="78">
          <cell r="C78">
            <v>0</v>
          </cell>
          <cell r="D78">
            <v>0</v>
          </cell>
          <cell r="E78">
            <v>0</v>
          </cell>
          <cell r="F78">
            <v>0</v>
          </cell>
          <cell r="G78">
            <v>0</v>
          </cell>
          <cell r="H78">
            <v>0</v>
          </cell>
          <cell r="I78">
            <v>0</v>
          </cell>
          <cell r="J78">
            <v>0</v>
          </cell>
          <cell r="K78">
            <v>0</v>
          </cell>
          <cell r="L78">
            <v>0</v>
          </cell>
        </row>
        <row r="79">
          <cell r="C79">
            <v>0</v>
          </cell>
          <cell r="D79">
            <v>0</v>
          </cell>
          <cell r="E79">
            <v>0</v>
          </cell>
          <cell r="F79">
            <v>0</v>
          </cell>
          <cell r="G79">
            <v>0</v>
          </cell>
          <cell r="H79">
            <v>0</v>
          </cell>
          <cell r="I79">
            <v>0</v>
          </cell>
          <cell r="J79">
            <v>0</v>
          </cell>
          <cell r="K79">
            <v>0</v>
          </cell>
          <cell r="L79">
            <v>0</v>
          </cell>
        </row>
        <row r="80">
          <cell r="C80">
            <v>0</v>
          </cell>
          <cell r="D80">
            <v>0</v>
          </cell>
          <cell r="E80">
            <v>0</v>
          </cell>
          <cell r="F80">
            <v>0</v>
          </cell>
          <cell r="G80">
            <v>0</v>
          </cell>
          <cell r="H80">
            <v>0</v>
          </cell>
          <cell r="I80">
            <v>0</v>
          </cell>
          <cell r="J80">
            <v>0</v>
          </cell>
          <cell r="K80">
            <v>0</v>
          </cell>
          <cell r="L80">
            <v>0</v>
          </cell>
        </row>
        <row r="82">
          <cell r="C82">
            <v>389649.65759277344</v>
          </cell>
          <cell r="D82">
            <v>4842135.1152586872</v>
          </cell>
          <cell r="E82">
            <v>18874242.743124824</v>
          </cell>
          <cell r="F82">
            <v>49622923.011827022</v>
          </cell>
          <cell r="G82">
            <v>103484020.4018859</v>
          </cell>
          <cell r="H82">
            <v>179632405.02844894</v>
          </cell>
          <cell r="I82">
            <v>258630488.74793565</v>
          </cell>
          <cell r="J82">
            <v>313733481.76380944</v>
          </cell>
          <cell r="K82">
            <v>333904103.88126451</v>
          </cell>
          <cell r="L82">
            <v>330269754.95182061</v>
          </cell>
        </row>
        <row r="83">
          <cell r="C83">
            <v>9656.3281555175781</v>
          </cell>
          <cell r="D83">
            <v>138996.28633030361</v>
          </cell>
          <cell r="E83">
            <v>617471.06073304883</v>
          </cell>
          <cell r="F83">
            <v>1806048.8552916064</v>
          </cell>
          <cell r="G83">
            <v>3999349.4644707013</v>
          </cell>
          <cell r="H83">
            <v>7353129.5597435245</v>
          </cell>
          <cell r="I83">
            <v>11279297.24991584</v>
          </cell>
          <cell r="J83">
            <v>14519829.416101484</v>
          </cell>
          <cell r="K83">
            <v>16150974.985340811</v>
          </cell>
          <cell r="L83">
            <v>12285727.658876058</v>
          </cell>
        </row>
        <row r="84">
          <cell r="C84">
            <v>0</v>
          </cell>
          <cell r="D84">
            <v>370529.43664210913</v>
          </cell>
          <cell r="E84">
            <v>4604530.1502019092</v>
          </cell>
          <cell r="F84">
            <v>17948078.214315776</v>
          </cell>
          <cell r="G84">
            <v>47187911.88397038</v>
          </cell>
          <cell r="H84">
            <v>98406029.708474338</v>
          </cell>
          <cell r="I84">
            <v>170817791.1641331</v>
          </cell>
          <cell r="J84">
            <v>245939416.15726763</v>
          </cell>
          <cell r="K84">
            <v>298338489.43145514</v>
          </cell>
          <cell r="L84">
            <v>317519333.31073403</v>
          </cell>
        </row>
        <row r="85">
          <cell r="C85">
            <v>379993.32943725586</v>
          </cell>
          <cell r="D85">
            <v>4332609.3922862746</v>
          </cell>
          <cell r="E85">
            <v>13652241.532189865</v>
          </cell>
          <cell r="F85">
            <v>29868795.942219645</v>
          </cell>
          <cell r="G85">
            <v>52296759.053444825</v>
          </cell>
          <cell r="H85">
            <v>73873245.760231063</v>
          </cell>
          <cell r="I85">
            <v>76533400.333886728</v>
          </cell>
          <cell r="J85">
            <v>53274236.190440312</v>
          </cell>
          <cell r="K85">
            <v>19414639.464468598</v>
          </cell>
          <cell r="L85">
            <v>464693.98221048713</v>
          </cell>
        </row>
      </sheetData>
      <sheetData sheetId="8">
        <row r="7">
          <cell r="C7">
            <v>0</v>
          </cell>
          <cell r="D7">
            <v>0</v>
          </cell>
          <cell r="E7">
            <v>0</v>
          </cell>
          <cell r="F7">
            <v>0</v>
          </cell>
          <cell r="G7">
            <v>0</v>
          </cell>
          <cell r="H7">
            <v>0</v>
          </cell>
          <cell r="I7">
            <v>0</v>
          </cell>
          <cell r="J7">
            <v>0</v>
          </cell>
          <cell r="K7">
            <v>0</v>
          </cell>
          <cell r="L7">
            <v>0</v>
          </cell>
        </row>
        <row r="8">
          <cell r="C8">
            <v>2500000</v>
          </cell>
          <cell r="D8">
            <v>7500000</v>
          </cell>
          <cell r="E8">
            <v>25000000</v>
          </cell>
          <cell r="F8">
            <v>37500000</v>
          </cell>
          <cell r="G8">
            <v>50000000</v>
          </cell>
          <cell r="H8">
            <v>50000000</v>
          </cell>
          <cell r="I8">
            <v>52500000</v>
          </cell>
          <cell r="J8">
            <v>40000000</v>
          </cell>
          <cell r="K8">
            <v>37500000</v>
          </cell>
          <cell r="L8">
            <v>47500000</v>
          </cell>
        </row>
        <row r="9">
          <cell r="C9">
            <v>0</v>
          </cell>
          <cell r="D9">
            <v>0</v>
          </cell>
          <cell r="E9">
            <v>0</v>
          </cell>
          <cell r="F9">
            <v>0</v>
          </cell>
          <cell r="G9">
            <v>0</v>
          </cell>
          <cell r="H9">
            <v>0</v>
          </cell>
          <cell r="I9">
            <v>0</v>
          </cell>
          <cell r="J9">
            <v>0</v>
          </cell>
          <cell r="K9">
            <v>0</v>
          </cell>
          <cell r="L9">
            <v>0</v>
          </cell>
        </row>
        <row r="10">
          <cell r="C10">
            <v>0</v>
          </cell>
          <cell r="D10">
            <v>0</v>
          </cell>
          <cell r="E10">
            <v>0</v>
          </cell>
          <cell r="F10">
            <v>0</v>
          </cell>
          <cell r="G10">
            <v>0</v>
          </cell>
          <cell r="H10">
            <v>0</v>
          </cell>
          <cell r="I10">
            <v>0</v>
          </cell>
          <cell r="J10">
            <v>0</v>
          </cell>
          <cell r="K10">
            <v>0</v>
          </cell>
          <cell r="L10">
            <v>0</v>
          </cell>
        </row>
        <row r="11">
          <cell r="C11">
            <v>0</v>
          </cell>
          <cell r="D11">
            <v>0</v>
          </cell>
          <cell r="E11">
            <v>0</v>
          </cell>
          <cell r="F11">
            <v>0</v>
          </cell>
          <cell r="G11">
            <v>0</v>
          </cell>
          <cell r="H11">
            <v>0</v>
          </cell>
          <cell r="I11">
            <v>0</v>
          </cell>
          <cell r="J11">
            <v>0</v>
          </cell>
          <cell r="K11">
            <v>0</v>
          </cell>
          <cell r="L11">
            <v>0</v>
          </cell>
        </row>
        <row r="12">
          <cell r="C12">
            <v>0</v>
          </cell>
          <cell r="D12">
            <v>1850.4632368259793</v>
          </cell>
          <cell r="E12">
            <v>29598.042555455177</v>
          </cell>
          <cell r="F12">
            <v>148748.32384952815</v>
          </cell>
          <cell r="G12">
            <v>451837.14328104572</v>
          </cell>
          <cell r="H12">
            <v>972049.07343265158</v>
          </cell>
          <cell r="I12">
            <v>1690299.3926177868</v>
          </cell>
          <cell r="J12">
            <v>2443306.2606091308</v>
          </cell>
          <cell r="K12">
            <v>3031727.956007631</v>
          </cell>
          <cell r="L12">
            <v>3292984.2987020519</v>
          </cell>
        </row>
        <row r="13">
          <cell r="C13">
            <v>0</v>
          </cell>
          <cell r="D13">
            <v>48466.889506316722</v>
          </cell>
          <cell r="E13">
            <v>665387.34115389641</v>
          </cell>
          <cell r="F13">
            <v>3001885.8972589485</v>
          </cell>
          <cell r="G13">
            <v>8596068.5883577149</v>
          </cell>
          <cell r="H13">
            <v>18314296.274829283</v>
          </cell>
          <cell r="I13">
            <v>31849959.736222304</v>
          </cell>
          <cell r="J13">
            <v>46763127.114378564</v>
          </cell>
          <cell r="K13">
            <v>59603596.714804918</v>
          </cell>
          <cell r="L13">
            <v>67589804.904998004</v>
          </cell>
        </row>
        <row r="15">
          <cell r="C15">
            <v>0</v>
          </cell>
          <cell r="D15">
            <v>352001.53876222565</v>
          </cell>
          <cell r="E15">
            <v>4080995.88217133</v>
          </cell>
          <cell r="F15">
            <v>14973165.095312688</v>
          </cell>
          <cell r="G15">
            <v>35201827.258840911</v>
          </cell>
          <cell r="H15">
            <v>64727003.61025697</v>
          </cell>
          <cell r="I15">
            <v>97202853.782327563</v>
          </cell>
          <cell r="J15">
            <v>123506672.71026021</v>
          </cell>
          <cell r="K15">
            <v>135219116.5905951</v>
          </cell>
          <cell r="L15">
            <v>133397987.14794478</v>
          </cell>
        </row>
        <row r="17">
          <cell r="C17">
            <v>0</v>
          </cell>
          <cell r="D17">
            <v>0</v>
          </cell>
          <cell r="E17">
            <v>0</v>
          </cell>
          <cell r="F17">
            <v>0</v>
          </cell>
          <cell r="G17">
            <v>0</v>
          </cell>
          <cell r="H17">
            <v>0</v>
          </cell>
          <cell r="I17">
            <v>0</v>
          </cell>
          <cell r="J17">
            <v>0</v>
          </cell>
          <cell r="K17">
            <v>0</v>
          </cell>
          <cell r="L17">
            <v>0</v>
          </cell>
        </row>
        <row r="18">
          <cell r="C18">
            <v>0</v>
          </cell>
          <cell r="D18">
            <v>0</v>
          </cell>
          <cell r="E18">
            <v>0</v>
          </cell>
          <cell r="F18">
            <v>0</v>
          </cell>
          <cell r="G18">
            <v>0</v>
          </cell>
          <cell r="H18">
            <v>0</v>
          </cell>
          <cell r="I18">
            <v>0</v>
          </cell>
          <cell r="J18">
            <v>0</v>
          </cell>
          <cell r="K18">
            <v>0</v>
          </cell>
          <cell r="L18">
            <v>0</v>
          </cell>
        </row>
        <row r="19">
          <cell r="C19">
            <v>0</v>
          </cell>
          <cell r="D19">
            <v>0</v>
          </cell>
          <cell r="E19">
            <v>0</v>
          </cell>
          <cell r="F19">
            <v>0</v>
          </cell>
          <cell r="G19">
            <v>0</v>
          </cell>
          <cell r="H19">
            <v>0</v>
          </cell>
          <cell r="I19">
            <v>0</v>
          </cell>
          <cell r="J19">
            <v>0</v>
          </cell>
          <cell r="K19">
            <v>0</v>
          </cell>
          <cell r="L19">
            <v>0</v>
          </cell>
        </row>
        <row r="20">
          <cell r="C20">
            <v>0</v>
          </cell>
          <cell r="D20">
            <v>0</v>
          </cell>
          <cell r="E20">
            <v>0</v>
          </cell>
          <cell r="F20">
            <v>0</v>
          </cell>
          <cell r="G20">
            <v>0</v>
          </cell>
          <cell r="H20">
            <v>0</v>
          </cell>
          <cell r="I20">
            <v>0</v>
          </cell>
          <cell r="J20">
            <v>0</v>
          </cell>
          <cell r="K20">
            <v>0</v>
          </cell>
          <cell r="L20">
            <v>0</v>
          </cell>
        </row>
        <row r="22">
          <cell r="C22">
            <v>0</v>
          </cell>
          <cell r="D22">
            <v>0</v>
          </cell>
          <cell r="E22">
            <v>0</v>
          </cell>
          <cell r="F22">
            <v>0</v>
          </cell>
          <cell r="G22">
            <v>0</v>
          </cell>
          <cell r="H22">
            <v>0</v>
          </cell>
          <cell r="I22">
            <v>0</v>
          </cell>
          <cell r="J22">
            <v>0</v>
          </cell>
          <cell r="K22">
            <v>0</v>
          </cell>
          <cell r="L22">
            <v>0</v>
          </cell>
        </row>
        <row r="23">
          <cell r="C23">
            <v>0</v>
          </cell>
          <cell r="D23">
            <v>0</v>
          </cell>
          <cell r="E23">
            <v>0</v>
          </cell>
          <cell r="F23">
            <v>0</v>
          </cell>
          <cell r="G23">
            <v>0</v>
          </cell>
          <cell r="H23">
            <v>0</v>
          </cell>
          <cell r="I23">
            <v>0</v>
          </cell>
          <cell r="J23">
            <v>0</v>
          </cell>
          <cell r="K23">
            <v>0</v>
          </cell>
          <cell r="L23">
            <v>0</v>
          </cell>
        </row>
        <row r="24">
          <cell r="C24">
            <v>0</v>
          </cell>
          <cell r="D24">
            <v>0</v>
          </cell>
          <cell r="E24">
            <v>0</v>
          </cell>
          <cell r="F24">
            <v>0</v>
          </cell>
          <cell r="G24">
            <v>0</v>
          </cell>
          <cell r="H24">
            <v>0</v>
          </cell>
          <cell r="I24">
            <v>0</v>
          </cell>
          <cell r="J24">
            <v>0</v>
          </cell>
          <cell r="K24">
            <v>0</v>
          </cell>
          <cell r="L24">
            <v>0</v>
          </cell>
        </row>
        <row r="26">
          <cell r="C26">
            <v>0</v>
          </cell>
          <cell r="D26">
            <v>269372.92634820513</v>
          </cell>
          <cell r="E26">
            <v>3211791.8640409196</v>
          </cell>
          <cell r="F26">
            <v>13033065.473405832</v>
          </cell>
          <cell r="G26">
            <v>33456274.608369507</v>
          </cell>
          <cell r="H26">
            <v>66687402.020478353</v>
          </cell>
          <cell r="I26">
            <v>109116690.18315095</v>
          </cell>
          <cell r="J26">
            <v>152241511.4421711</v>
          </cell>
          <cell r="K26">
            <v>185089572.21875039</v>
          </cell>
          <cell r="L26">
            <v>202544900.22632977</v>
          </cell>
        </row>
        <row r="28">
          <cell r="C28">
            <v>0</v>
          </cell>
          <cell r="D28">
            <v>0</v>
          </cell>
          <cell r="E28">
            <v>0</v>
          </cell>
          <cell r="F28">
            <v>0</v>
          </cell>
          <cell r="G28">
            <v>0</v>
          </cell>
          <cell r="H28">
            <v>0</v>
          </cell>
          <cell r="I28">
            <v>0</v>
          </cell>
          <cell r="J28">
            <v>0</v>
          </cell>
          <cell r="K28">
            <v>0</v>
          </cell>
          <cell r="L28">
            <v>0</v>
          </cell>
        </row>
        <row r="31">
          <cell r="C31">
            <v>496.68456717048809</v>
          </cell>
          <cell r="D31">
            <v>1968.3219530257752</v>
          </cell>
          <cell r="E31">
            <v>6852.0666011722251</v>
          </cell>
          <cell r="F31">
            <v>14019.96169002902</v>
          </cell>
          <cell r="G31">
            <v>23065.009546567428</v>
          </cell>
          <cell r="H31">
            <v>30859.151613356527</v>
          </cell>
          <cell r="I31">
            <v>36700.864883626738</v>
          </cell>
          <cell r="J31">
            <v>37467.300916351378</v>
          </cell>
          <cell r="K31">
            <v>35774.628353767963</v>
          </cell>
          <cell r="L31">
            <v>35378.160443935463</v>
          </cell>
        </row>
        <row r="69">
          <cell r="C69">
            <v>108670660.80206895</v>
          </cell>
          <cell r="D69">
            <v>406428840.95338953</v>
          </cell>
          <cell r="E69">
            <v>1380960332.6224947</v>
          </cell>
          <cell r="F69">
            <v>2629217913.0296354</v>
          </cell>
          <cell r="G69">
            <v>4019411520.5332375</v>
          </cell>
          <cell r="H69">
            <v>4903491397.6144781</v>
          </cell>
          <cell r="I69">
            <v>5456080481.903635</v>
          </cell>
          <cell r="J69">
            <v>5159374580.6970501</v>
          </cell>
          <cell r="K69">
            <v>4721533024.6347542</v>
          </cell>
          <cell r="L69">
            <v>4827795739.4051676</v>
          </cell>
        </row>
        <row r="70">
          <cell r="C70">
            <v>496.68456717048809</v>
          </cell>
          <cell r="D70">
            <v>1968.3219530257752</v>
          </cell>
          <cell r="E70">
            <v>6852.0666011722251</v>
          </cell>
          <cell r="F70">
            <v>14019.96169002902</v>
          </cell>
          <cell r="G70">
            <v>23065.009546567428</v>
          </cell>
          <cell r="H70">
            <v>30859.151613356527</v>
          </cell>
          <cell r="I70">
            <v>36700.864883626738</v>
          </cell>
          <cell r="J70">
            <v>37467.300916351378</v>
          </cell>
          <cell r="K70">
            <v>35774.628353767963</v>
          </cell>
          <cell r="L70">
            <v>35378.160443935463</v>
          </cell>
        </row>
        <row r="72">
          <cell r="C72">
            <v>15959173.52285324</v>
          </cell>
          <cell r="D72">
            <v>72950234.644177854</v>
          </cell>
          <cell r="E72">
            <v>259722691.46586686</v>
          </cell>
          <cell r="F72">
            <v>589724092.35184216</v>
          </cell>
          <cell r="G72">
            <v>1041739317.9278977</v>
          </cell>
          <cell r="H72">
            <v>1513701365.2498312</v>
          </cell>
          <cell r="I72">
            <v>1942530998.0230646</v>
          </cell>
          <cell r="J72">
            <v>2154509149.0213766</v>
          </cell>
          <cell r="K72">
            <v>2172559908.0323524</v>
          </cell>
          <cell r="L72">
            <v>2133693188.898582</v>
          </cell>
        </row>
        <row r="74">
          <cell r="C74">
            <v>2961325.4006225588</v>
          </cell>
          <cell r="D74">
            <v>13366815.331016276</v>
          </cell>
          <cell r="E74">
            <v>48639744.465781994</v>
          </cell>
          <cell r="F74">
            <v>124337262.08230233</v>
          </cell>
          <cell r="G74">
            <v>219240134.5815025</v>
          </cell>
          <cell r="H74">
            <v>269966050.59454089</v>
          </cell>
          <cell r="I74">
            <v>293009536.37148082</v>
          </cell>
          <cell r="J74">
            <v>286088688.84936494</v>
          </cell>
          <cell r="K74">
            <v>279290252.04155302</v>
          </cell>
          <cell r="L74">
            <v>303155227.79732448</v>
          </cell>
        </row>
        <row r="77">
          <cell r="C77">
            <v>3125000</v>
          </cell>
          <cell r="D77">
            <v>9375000</v>
          </cell>
          <cell r="E77">
            <v>31250000</v>
          </cell>
          <cell r="F77">
            <v>46875000</v>
          </cell>
          <cell r="G77">
            <v>62500000</v>
          </cell>
          <cell r="H77">
            <v>62500000</v>
          </cell>
          <cell r="I77">
            <v>65625000</v>
          </cell>
          <cell r="J77">
            <v>50000000</v>
          </cell>
          <cell r="K77">
            <v>46875000</v>
          </cell>
          <cell r="L77">
            <v>59375000</v>
          </cell>
        </row>
        <row r="78">
          <cell r="C78">
            <v>0</v>
          </cell>
          <cell r="D78">
            <v>0</v>
          </cell>
          <cell r="E78">
            <v>0</v>
          </cell>
          <cell r="F78">
            <v>0</v>
          </cell>
          <cell r="G78">
            <v>0</v>
          </cell>
          <cell r="H78">
            <v>0</v>
          </cell>
          <cell r="I78">
            <v>0</v>
          </cell>
          <cell r="J78">
            <v>0</v>
          </cell>
          <cell r="K78">
            <v>0</v>
          </cell>
          <cell r="L78">
            <v>0</v>
          </cell>
        </row>
        <row r="79">
          <cell r="C79">
            <v>0</v>
          </cell>
          <cell r="D79">
            <v>0</v>
          </cell>
          <cell r="E79">
            <v>0</v>
          </cell>
          <cell r="F79">
            <v>0</v>
          </cell>
          <cell r="G79">
            <v>0</v>
          </cell>
          <cell r="H79">
            <v>0</v>
          </cell>
          <cell r="I79">
            <v>0</v>
          </cell>
          <cell r="J79">
            <v>0</v>
          </cell>
          <cell r="K79">
            <v>0</v>
          </cell>
          <cell r="L79">
            <v>0</v>
          </cell>
        </row>
        <row r="80">
          <cell r="C80">
            <v>0</v>
          </cell>
          <cell r="D80">
            <v>0</v>
          </cell>
          <cell r="E80">
            <v>0</v>
          </cell>
          <cell r="F80">
            <v>0</v>
          </cell>
          <cell r="G80">
            <v>0</v>
          </cell>
          <cell r="H80">
            <v>0</v>
          </cell>
          <cell r="I80">
            <v>0</v>
          </cell>
          <cell r="J80">
            <v>0</v>
          </cell>
          <cell r="K80">
            <v>0</v>
          </cell>
          <cell r="L80">
            <v>0</v>
          </cell>
        </row>
        <row r="82">
          <cell r="C82">
            <v>370165.67507781985</v>
          </cell>
          <cell r="D82">
            <v>4291585.2045015693</v>
          </cell>
          <cell r="E82">
            <v>15745816.865028027</v>
          </cell>
          <cell r="F82">
            <v>37018327.241017126</v>
          </cell>
          <cell r="G82">
            <v>68067074.568500265</v>
          </cell>
          <cell r="H82">
            <v>102218757.6689285</v>
          </cell>
          <cell r="I82">
            <v>129879917.68777731</v>
          </cell>
          <cell r="J82">
            <v>142196752.18520793</v>
          </cell>
          <cell r="K82">
            <v>140281648.02994424</v>
          </cell>
          <cell r="L82">
            <v>135044096.33100504</v>
          </cell>
        </row>
        <row r="83">
          <cell r="C83">
            <v>9292.6526817131053</v>
          </cell>
          <cell r="D83">
            <v>125045.9476582161</v>
          </cell>
          <cell r="E83">
            <v>524173.34286865889</v>
          </cell>
          <cell r="F83">
            <v>1396717.4924331398</v>
          </cell>
          <cell r="G83">
            <v>2739746.9098865353</v>
          </cell>
          <cell r="H83">
            <v>4399875.0980422562</v>
          </cell>
          <cell r="I83">
            <v>5903183.6726668784</v>
          </cell>
          <cell r="J83">
            <v>6819515.3489414612</v>
          </cell>
          <cell r="K83">
            <v>6958918.6634191126</v>
          </cell>
          <cell r="L83">
            <v>5059096.6626941655</v>
          </cell>
        </row>
        <row r="84">
          <cell r="C84">
            <v>0</v>
          </cell>
          <cell r="D84">
            <v>352001.53876222565</v>
          </cell>
          <cell r="E84">
            <v>4080995.88217133</v>
          </cell>
          <cell r="F84">
            <v>14973165.095312688</v>
          </cell>
          <cell r="G84">
            <v>35201827.258840911</v>
          </cell>
          <cell r="H84">
            <v>64727003.61025697</v>
          </cell>
          <cell r="I84">
            <v>97202853.782327563</v>
          </cell>
          <cell r="J84">
            <v>123506672.71026021</v>
          </cell>
          <cell r="K84">
            <v>135219116.5905951</v>
          </cell>
          <cell r="L84">
            <v>133397987.14794478</v>
          </cell>
        </row>
        <row r="85">
          <cell r="C85">
            <v>360873.02239610674</v>
          </cell>
          <cell r="D85">
            <v>3814537.7180811274</v>
          </cell>
          <cell r="E85">
            <v>11140647.639988039</v>
          </cell>
          <cell r="F85">
            <v>20648444.653271295</v>
          </cell>
          <cell r="G85">
            <v>30125500.399772823</v>
          </cell>
          <cell r="H85">
            <v>33091878.960629288</v>
          </cell>
          <cell r="I85">
            <v>26773880.232782859</v>
          </cell>
          <cell r="J85">
            <v>11870564.126006246</v>
          </cell>
          <cell r="K85">
            <v>-1896387.2240699902</v>
          </cell>
          <cell r="L85">
            <v>-3412987.4796339199</v>
          </cell>
        </row>
      </sheetData>
      <sheetData sheetId="9">
        <row r="7">
          <cell r="C7">
            <v>0</v>
          </cell>
          <cell r="D7">
            <v>0</v>
          </cell>
          <cell r="E7">
            <v>0</v>
          </cell>
          <cell r="F7">
            <v>0</v>
          </cell>
          <cell r="G7">
            <v>0</v>
          </cell>
          <cell r="H7">
            <v>0</v>
          </cell>
          <cell r="I7">
            <v>0</v>
          </cell>
          <cell r="J7">
            <v>0</v>
          </cell>
          <cell r="K7">
            <v>0</v>
          </cell>
          <cell r="L7">
            <v>0</v>
          </cell>
        </row>
        <row r="8">
          <cell r="C8">
            <v>2500000</v>
          </cell>
          <cell r="D8">
            <v>7500000</v>
          </cell>
          <cell r="E8">
            <v>25000000</v>
          </cell>
          <cell r="F8">
            <v>37500000</v>
          </cell>
          <cell r="G8">
            <v>50000000</v>
          </cell>
          <cell r="H8">
            <v>50000000</v>
          </cell>
          <cell r="I8">
            <v>52500000</v>
          </cell>
          <cell r="J8">
            <v>40000000</v>
          </cell>
          <cell r="K8">
            <v>37500000</v>
          </cell>
          <cell r="L8">
            <v>47500000</v>
          </cell>
        </row>
        <row r="9">
          <cell r="C9">
            <v>0</v>
          </cell>
          <cell r="D9">
            <v>0</v>
          </cell>
          <cell r="E9">
            <v>0</v>
          </cell>
          <cell r="F9">
            <v>0</v>
          </cell>
          <cell r="G9">
            <v>0</v>
          </cell>
          <cell r="H9">
            <v>0</v>
          </cell>
          <cell r="I9">
            <v>0</v>
          </cell>
          <cell r="J9">
            <v>0</v>
          </cell>
          <cell r="K9">
            <v>0</v>
          </cell>
          <cell r="L9">
            <v>0</v>
          </cell>
        </row>
        <row r="10">
          <cell r="C10">
            <v>0</v>
          </cell>
          <cell r="D10">
            <v>0</v>
          </cell>
          <cell r="E10">
            <v>0</v>
          </cell>
          <cell r="F10">
            <v>0</v>
          </cell>
          <cell r="G10">
            <v>0</v>
          </cell>
          <cell r="H10">
            <v>0</v>
          </cell>
          <cell r="I10">
            <v>0</v>
          </cell>
          <cell r="J10">
            <v>0</v>
          </cell>
          <cell r="K10">
            <v>0</v>
          </cell>
          <cell r="L10">
            <v>0</v>
          </cell>
        </row>
        <row r="11">
          <cell r="C11">
            <v>0</v>
          </cell>
          <cell r="D11">
            <v>0</v>
          </cell>
          <cell r="E11">
            <v>0</v>
          </cell>
          <cell r="F11">
            <v>0</v>
          </cell>
          <cell r="G11">
            <v>0</v>
          </cell>
          <cell r="H11">
            <v>0</v>
          </cell>
          <cell r="I11">
            <v>0</v>
          </cell>
          <cell r="J11">
            <v>0</v>
          </cell>
          <cell r="K11">
            <v>0</v>
          </cell>
          <cell r="L11">
            <v>0</v>
          </cell>
        </row>
        <row r="12">
          <cell r="C12">
            <v>0</v>
          </cell>
          <cell r="D12">
            <v>1652.7958473894644</v>
          </cell>
          <cell r="E12">
            <v>18156.897511647843</v>
          </cell>
          <cell r="F12">
            <v>77386.212834424659</v>
          </cell>
          <cell r="G12">
            <v>187023.82723310773</v>
          </cell>
          <cell r="H12">
            <v>295175.25931312045</v>
          </cell>
          <cell r="I12">
            <v>380292.17963317374</v>
          </cell>
          <cell r="J12">
            <v>411387.43898572796</v>
          </cell>
          <cell r="K12">
            <v>408474.20881832414</v>
          </cell>
          <cell r="L12">
            <v>352706.74214094703</v>
          </cell>
        </row>
        <row r="13">
          <cell r="C13">
            <v>0</v>
          </cell>
          <cell r="D13">
            <v>39864.927047881036</v>
          </cell>
          <cell r="E13">
            <v>385233.43651324301</v>
          </cell>
          <cell r="F13">
            <v>1527506.7965507635</v>
          </cell>
          <cell r="G13">
            <v>3406903.5282931919</v>
          </cell>
          <cell r="H13">
            <v>5518378.5756944669</v>
          </cell>
          <cell r="I13">
            <v>7264393.7762673842</v>
          </cell>
          <cell r="J13">
            <v>8387962.8939524041</v>
          </cell>
          <cell r="K13">
            <v>8647689.0481823087</v>
          </cell>
          <cell r="L13">
            <v>8192365.1902120644</v>
          </cell>
        </row>
        <row r="15">
          <cell r="C15">
            <v>0</v>
          </cell>
          <cell r="D15">
            <v>268737.82090348902</v>
          </cell>
          <cell r="E15">
            <v>2173797.5746194213</v>
          </cell>
          <cell r="F15">
            <v>7190316.0794170536</v>
          </cell>
          <cell r="G15">
            <v>11670089.493694562</v>
          </cell>
          <cell r="H15">
            <v>15828184.589946989</v>
          </cell>
          <cell r="I15">
            <v>16632380.385009702</v>
          </cell>
          <cell r="J15">
            <v>17303160.245247647</v>
          </cell>
          <cell r="K15">
            <v>14110100.103070475</v>
          </cell>
          <cell r="L15">
            <v>12635124.447769821</v>
          </cell>
        </row>
        <row r="17">
          <cell r="C17">
            <v>0</v>
          </cell>
          <cell r="D17">
            <v>0</v>
          </cell>
          <cell r="E17">
            <v>0</v>
          </cell>
          <cell r="F17">
            <v>0</v>
          </cell>
          <cell r="G17">
            <v>0</v>
          </cell>
          <cell r="H17">
            <v>0</v>
          </cell>
          <cell r="I17">
            <v>0</v>
          </cell>
          <cell r="J17">
            <v>0</v>
          </cell>
          <cell r="K17">
            <v>0</v>
          </cell>
          <cell r="L17">
            <v>0</v>
          </cell>
        </row>
        <row r="18">
          <cell r="C18">
            <v>0</v>
          </cell>
          <cell r="D18">
            <v>0</v>
          </cell>
          <cell r="E18">
            <v>0</v>
          </cell>
          <cell r="F18">
            <v>0</v>
          </cell>
          <cell r="G18">
            <v>0</v>
          </cell>
          <cell r="H18">
            <v>0</v>
          </cell>
          <cell r="I18">
            <v>0</v>
          </cell>
          <cell r="J18">
            <v>0</v>
          </cell>
          <cell r="K18">
            <v>0</v>
          </cell>
          <cell r="L18">
            <v>0</v>
          </cell>
        </row>
        <row r="19">
          <cell r="C19">
            <v>0</v>
          </cell>
          <cell r="D19">
            <v>0</v>
          </cell>
          <cell r="E19">
            <v>0</v>
          </cell>
          <cell r="F19">
            <v>0</v>
          </cell>
          <cell r="G19">
            <v>0</v>
          </cell>
          <cell r="H19">
            <v>0</v>
          </cell>
          <cell r="I19">
            <v>0</v>
          </cell>
          <cell r="J19">
            <v>0</v>
          </cell>
          <cell r="K19">
            <v>0</v>
          </cell>
          <cell r="L19">
            <v>0</v>
          </cell>
        </row>
        <row r="20">
          <cell r="C20">
            <v>0</v>
          </cell>
          <cell r="D20">
            <v>0</v>
          </cell>
          <cell r="E20">
            <v>0</v>
          </cell>
          <cell r="F20">
            <v>0</v>
          </cell>
          <cell r="G20">
            <v>0</v>
          </cell>
          <cell r="H20">
            <v>0</v>
          </cell>
          <cell r="I20">
            <v>0</v>
          </cell>
          <cell r="J20">
            <v>0</v>
          </cell>
          <cell r="K20">
            <v>0</v>
          </cell>
          <cell r="L20">
            <v>0</v>
          </cell>
        </row>
        <row r="22">
          <cell r="C22">
            <v>0</v>
          </cell>
          <cell r="D22">
            <v>0</v>
          </cell>
          <cell r="E22">
            <v>0</v>
          </cell>
          <cell r="F22">
            <v>0</v>
          </cell>
          <cell r="G22">
            <v>0</v>
          </cell>
          <cell r="H22">
            <v>0</v>
          </cell>
          <cell r="I22">
            <v>0</v>
          </cell>
          <cell r="J22">
            <v>0</v>
          </cell>
          <cell r="K22">
            <v>0</v>
          </cell>
          <cell r="L22">
            <v>0</v>
          </cell>
        </row>
        <row r="23">
          <cell r="C23">
            <v>0</v>
          </cell>
          <cell r="D23">
            <v>0</v>
          </cell>
          <cell r="E23">
            <v>0</v>
          </cell>
          <cell r="F23">
            <v>0</v>
          </cell>
          <cell r="G23">
            <v>0</v>
          </cell>
          <cell r="H23">
            <v>0</v>
          </cell>
          <cell r="I23">
            <v>0</v>
          </cell>
          <cell r="J23">
            <v>0</v>
          </cell>
          <cell r="K23">
            <v>0</v>
          </cell>
          <cell r="L23">
            <v>0</v>
          </cell>
        </row>
        <row r="24">
          <cell r="C24">
            <v>0</v>
          </cell>
          <cell r="D24">
            <v>0</v>
          </cell>
          <cell r="E24">
            <v>0</v>
          </cell>
          <cell r="F24">
            <v>0</v>
          </cell>
          <cell r="G24">
            <v>0</v>
          </cell>
          <cell r="H24">
            <v>0</v>
          </cell>
          <cell r="I24">
            <v>0</v>
          </cell>
          <cell r="J24">
            <v>0</v>
          </cell>
          <cell r="K24">
            <v>0</v>
          </cell>
          <cell r="L24">
            <v>0</v>
          </cell>
        </row>
        <row r="26">
          <cell r="C26">
            <v>0</v>
          </cell>
          <cell r="D26">
            <v>200643.47997629782</v>
          </cell>
          <cell r="E26">
            <v>1714228.4295619996</v>
          </cell>
          <cell r="F26">
            <v>6281313.6352266893</v>
          </cell>
          <cell r="G26">
            <v>12086206.754532825</v>
          </cell>
          <cell r="H26">
            <v>18421918.459009249</v>
          </cell>
          <cell r="I26">
            <v>22566683.703940138</v>
          </cell>
          <cell r="J26">
            <v>25478518.353614718</v>
          </cell>
          <cell r="K26">
            <v>24767329.167563021</v>
          </cell>
          <cell r="L26">
            <v>23395804.889505114</v>
          </cell>
        </row>
        <row r="28">
          <cell r="C28">
            <v>0</v>
          </cell>
          <cell r="D28">
            <v>0</v>
          </cell>
          <cell r="E28">
            <v>0</v>
          </cell>
          <cell r="F28">
            <v>0</v>
          </cell>
          <cell r="G28">
            <v>0</v>
          </cell>
          <cell r="H28">
            <v>0</v>
          </cell>
          <cell r="I28">
            <v>0</v>
          </cell>
          <cell r="J28">
            <v>0</v>
          </cell>
          <cell r="K28">
            <v>0</v>
          </cell>
          <cell r="L28">
            <v>0</v>
          </cell>
        </row>
        <row r="31">
          <cell r="C31">
            <v>371.42566292317707</v>
          </cell>
          <cell r="D31">
            <v>1106.2598689193726</v>
          </cell>
          <cell r="E31">
            <v>3687.5328963979082</v>
          </cell>
          <cell r="F31">
            <v>5531.2993445968623</v>
          </cell>
          <cell r="G31">
            <v>7375.0657927958164</v>
          </cell>
          <cell r="H31">
            <v>7375.0657927958164</v>
          </cell>
          <cell r="I31">
            <v>7743.8190824356079</v>
          </cell>
          <cell r="J31">
            <v>5900.0526342366538</v>
          </cell>
          <cell r="K31">
            <v>5531.2993445968623</v>
          </cell>
          <cell r="L31">
            <v>7006.3125031560267</v>
          </cell>
        </row>
        <row r="69">
          <cell r="C69">
            <v>46538558.685302734</v>
          </cell>
          <cell r="D69">
            <v>138860542.64974594</v>
          </cell>
          <cell r="E69">
            <v>462868475.49915314</v>
          </cell>
          <cell r="F69">
            <v>694302713.24872971</v>
          </cell>
          <cell r="G69">
            <v>925736950.99830627</v>
          </cell>
          <cell r="H69">
            <v>925736950.99830627</v>
          </cell>
          <cell r="I69">
            <v>972023798.54822159</v>
          </cell>
          <cell r="J69">
            <v>740589560.79864502</v>
          </cell>
          <cell r="K69">
            <v>694302713.24872971</v>
          </cell>
          <cell r="L69">
            <v>879450103.44839096</v>
          </cell>
        </row>
        <row r="70">
          <cell r="C70">
            <v>371.42566292317707</v>
          </cell>
          <cell r="D70">
            <v>1106.2598689193726</v>
          </cell>
          <cell r="E70">
            <v>3687.5328963979082</v>
          </cell>
          <cell r="F70">
            <v>5531.2993445968623</v>
          </cell>
          <cell r="G70">
            <v>7375.0657927958164</v>
          </cell>
          <cell r="H70">
            <v>7375.0657927958164</v>
          </cell>
          <cell r="I70">
            <v>7743.8190824356079</v>
          </cell>
          <cell r="J70">
            <v>5900.0526342366538</v>
          </cell>
          <cell r="K70">
            <v>5531.2993445968623</v>
          </cell>
          <cell r="L70">
            <v>7006.3125031560267</v>
          </cell>
        </row>
        <row r="72">
          <cell r="C72">
            <v>78178835.968017578</v>
          </cell>
          <cell r="D72">
            <v>280392045.21417618</v>
          </cell>
          <cell r="E72">
            <v>918430713.25731277</v>
          </cell>
          <cell r="F72">
            <v>1631293467.7290916</v>
          </cell>
          <cell r="G72">
            <v>2251920804.8033714</v>
          </cell>
          <cell r="H72">
            <v>2482509348.2971191</v>
          </cell>
          <cell r="I72">
            <v>2560517107.0132256</v>
          </cell>
          <cell r="J72">
            <v>2216596022.131443</v>
          </cell>
          <cell r="K72">
            <v>1907999719.9215889</v>
          </cell>
          <cell r="L72">
            <v>2173913046.087265</v>
          </cell>
        </row>
        <row r="74">
          <cell r="C74">
            <v>2337603.8485717773</v>
          </cell>
          <cell r="D74">
            <v>8209401.0774478316</v>
          </cell>
          <cell r="E74">
            <v>28695779.558786452</v>
          </cell>
          <cell r="F74">
            <v>63325047.612605989</v>
          </cell>
          <cell r="G74">
            <v>88001122.540046275</v>
          </cell>
          <cell r="H74">
            <v>72630446.443897486</v>
          </cell>
          <cell r="I74">
            <v>74509266.605599821</v>
          </cell>
          <cell r="J74">
            <v>63490803.94161135</v>
          </cell>
          <cell r="K74">
            <v>71467891.802050471</v>
          </cell>
          <cell r="L74">
            <v>90762941.67591095</v>
          </cell>
        </row>
        <row r="77">
          <cell r="C77">
            <v>3125000</v>
          </cell>
          <cell r="D77">
            <v>9375000</v>
          </cell>
          <cell r="E77">
            <v>31250000</v>
          </cell>
          <cell r="F77">
            <v>46875000</v>
          </cell>
          <cell r="G77">
            <v>62500000</v>
          </cell>
          <cell r="H77">
            <v>62500000</v>
          </cell>
          <cell r="I77">
            <v>65625000</v>
          </cell>
          <cell r="J77">
            <v>50000000</v>
          </cell>
          <cell r="K77">
            <v>46875000</v>
          </cell>
          <cell r="L77">
            <v>59375000</v>
          </cell>
        </row>
        <row r="78">
          <cell r="C78">
            <v>0</v>
          </cell>
          <cell r="D78">
            <v>0</v>
          </cell>
          <cell r="E78">
            <v>0</v>
          </cell>
          <cell r="F78">
            <v>0</v>
          </cell>
          <cell r="G78">
            <v>0</v>
          </cell>
          <cell r="H78">
            <v>0</v>
          </cell>
          <cell r="I78">
            <v>0</v>
          </cell>
          <cell r="J78">
            <v>0</v>
          </cell>
          <cell r="K78">
            <v>0</v>
          </cell>
          <cell r="L78">
            <v>0</v>
          </cell>
        </row>
        <row r="79">
          <cell r="C79">
            <v>0</v>
          </cell>
          <cell r="D79">
            <v>0</v>
          </cell>
          <cell r="E79">
            <v>0</v>
          </cell>
          <cell r="F79">
            <v>0</v>
          </cell>
          <cell r="G79">
            <v>0</v>
          </cell>
          <cell r="H79">
            <v>0</v>
          </cell>
          <cell r="I79">
            <v>0</v>
          </cell>
          <cell r="J79">
            <v>0</v>
          </cell>
          <cell r="K79">
            <v>0</v>
          </cell>
          <cell r="L79">
            <v>0</v>
          </cell>
        </row>
        <row r="80">
          <cell r="C80">
            <v>0</v>
          </cell>
          <cell r="D80">
            <v>0</v>
          </cell>
          <cell r="E80">
            <v>0</v>
          </cell>
          <cell r="F80">
            <v>0</v>
          </cell>
          <cell r="G80">
            <v>0</v>
          </cell>
          <cell r="H80">
            <v>0</v>
          </cell>
          <cell r="I80">
            <v>0</v>
          </cell>
          <cell r="J80">
            <v>0</v>
          </cell>
          <cell r="K80">
            <v>0</v>
          </cell>
          <cell r="L80">
            <v>0</v>
          </cell>
        </row>
        <row r="82">
          <cell r="C82">
            <v>282605.3466796875</v>
          </cell>
          <cell r="D82">
            <v>2285970.8213806152</v>
          </cell>
          <cell r="E82">
            <v>7561353.8932800293</v>
          </cell>
          <cell r="F82">
            <v>12272294.521331787</v>
          </cell>
          <cell r="G82">
            <v>16644957.447052002</v>
          </cell>
          <cell r="H82">
            <v>17490651.702880859</v>
          </cell>
          <cell r="I82">
            <v>18196045.436859131</v>
          </cell>
          <cell r="J82">
            <v>14838215.618133545</v>
          </cell>
          <cell r="K82">
            <v>13287127.628326416</v>
          </cell>
          <cell r="L82">
            <v>15939563.71307373</v>
          </cell>
        </row>
        <row r="83">
          <cell r="C83">
            <v>7717.5855350494385</v>
          </cell>
          <cell r="D83">
            <v>71708.72782201544</v>
          </cell>
          <cell r="E83">
            <v>262471.30836988636</v>
          </cell>
          <cell r="F83">
            <v>521426.0328152657</v>
          </cell>
          <cell r="G83">
            <v>737153.32136860001</v>
          </cell>
          <cell r="H83">
            <v>855372.67015729449</v>
          </cell>
          <cell r="I83">
            <v>877541.01400697604</v>
          </cell>
          <cell r="J83">
            <v>804256.67354284762</v>
          </cell>
          <cell r="K83">
            <v>670246.0058749693</v>
          </cell>
          <cell r="L83">
            <v>525695.67277629813</v>
          </cell>
        </row>
        <row r="84">
          <cell r="C84">
            <v>0</v>
          </cell>
          <cell r="D84">
            <v>268737.82090348902</v>
          </cell>
          <cell r="E84">
            <v>2173797.5746194213</v>
          </cell>
          <cell r="F84">
            <v>7190316.0794170536</v>
          </cell>
          <cell r="G84">
            <v>11670089.493694562</v>
          </cell>
          <cell r="H84">
            <v>15828184.589946989</v>
          </cell>
          <cell r="I84">
            <v>16632380.385009702</v>
          </cell>
          <cell r="J84">
            <v>17303160.245247647</v>
          </cell>
          <cell r="K84">
            <v>14110100.103070475</v>
          </cell>
          <cell r="L84">
            <v>12635124.447769821</v>
          </cell>
        </row>
        <row r="85">
          <cell r="C85">
            <v>274887.76114463806</v>
          </cell>
          <cell r="D85">
            <v>1945524.2726551108</v>
          </cell>
          <cell r="E85">
            <v>5125085.0102907214</v>
          </cell>
          <cell r="F85">
            <v>4560552.409099468</v>
          </cell>
          <cell r="G85">
            <v>4237714.6319888383</v>
          </cell>
          <cell r="H85">
            <v>807094.44277657568</v>
          </cell>
          <cell r="I85">
            <v>686124.03784245253</v>
          </cell>
          <cell r="J85">
            <v>-3269201.3006569473</v>
          </cell>
          <cell r="K85">
            <v>-1493218.4806190282</v>
          </cell>
          <cell r="L85">
            <v>2778743.592527613</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y Platform"/>
      <sheetName val="Product Design"/>
      <sheetName val="Program design"/>
      <sheetName val="Program Operations"/>
      <sheetName val="Summary Portfolios"/>
      <sheetName val="Level PMT calcs"/>
      <sheetName val="Balloon calcs"/>
      <sheetName val="Bullet calcs"/>
      <sheetName val="Fixed principal quarterly"/>
      <sheetName val="IO to Equal Qtrly calcs"/>
      <sheetName val="Notes"/>
    </sheetNames>
    <sheetDataSet>
      <sheetData sheetId="0">
        <row r="16">
          <cell r="E16">
            <v>0</v>
          </cell>
        </row>
      </sheetData>
      <sheetData sheetId="1"/>
      <sheetData sheetId="2">
        <row r="31">
          <cell r="E31">
            <v>2016</v>
          </cell>
          <cell r="F31">
            <v>2017</v>
          </cell>
          <cell r="G31">
            <v>2018</v>
          </cell>
          <cell r="H31">
            <v>2019</v>
          </cell>
          <cell r="I31">
            <v>2020</v>
          </cell>
          <cell r="J31">
            <v>2021</v>
          </cell>
          <cell r="K31">
            <v>2022</v>
          </cell>
          <cell r="L31">
            <v>2023</v>
          </cell>
          <cell r="M31">
            <v>2024</v>
          </cell>
          <cell r="N31">
            <v>2025</v>
          </cell>
        </row>
      </sheetData>
      <sheetData sheetId="3">
        <row r="56">
          <cell r="E56">
            <v>275000</v>
          </cell>
        </row>
      </sheetData>
      <sheetData sheetId="4">
        <row r="60">
          <cell r="B60">
            <v>125000000</v>
          </cell>
        </row>
        <row r="61">
          <cell r="B61">
            <v>500</v>
          </cell>
        </row>
        <row r="63">
          <cell r="B63">
            <v>121491952.18486601</v>
          </cell>
        </row>
        <row r="64">
          <cell r="B64">
            <v>494.55512348939897</v>
          </cell>
        </row>
        <row r="66">
          <cell r="B66">
            <v>2542453.0553793395</v>
          </cell>
        </row>
        <row r="68">
          <cell r="B68">
            <v>3069213.4661137797</v>
          </cell>
        </row>
        <row r="71">
          <cell r="B71">
            <v>2500000</v>
          </cell>
        </row>
        <row r="72">
          <cell r="B72">
            <v>1544951.6156074395</v>
          </cell>
        </row>
        <row r="73">
          <cell r="B73">
            <v>0</v>
          </cell>
        </row>
        <row r="74">
          <cell r="B74">
            <v>0</v>
          </cell>
        </row>
        <row r="76">
          <cell r="B76">
            <v>965594.75975464995</v>
          </cell>
        </row>
        <row r="77">
          <cell r="B77">
            <v>23981.68464896037</v>
          </cell>
        </row>
        <row r="78">
          <cell r="B78">
            <v>0</v>
          </cell>
        </row>
        <row r="79">
          <cell r="B79">
            <v>941613.07510568958</v>
          </cell>
        </row>
      </sheetData>
      <sheetData sheetId="5">
        <row r="7">
          <cell r="C7">
            <v>0</v>
          </cell>
        </row>
      </sheetData>
      <sheetData sheetId="6">
        <row r="7">
          <cell r="C7">
            <v>0</v>
          </cell>
        </row>
      </sheetData>
      <sheetData sheetId="7">
        <row r="7">
          <cell r="C7">
            <v>0</v>
          </cell>
        </row>
      </sheetData>
      <sheetData sheetId="8">
        <row r="7">
          <cell r="C7">
            <v>0</v>
          </cell>
        </row>
      </sheetData>
      <sheetData sheetId="9">
        <row r="7">
          <cell r="C7">
            <v>0</v>
          </cell>
        </row>
      </sheetData>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y Platform"/>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y Platform"/>
      <sheetName val="Product Design"/>
      <sheetName val="Program design"/>
      <sheetName val="Program Operations"/>
      <sheetName val="Summary Portfolios"/>
      <sheetName val="Level PMT calcs"/>
      <sheetName val="Balloon calcs"/>
      <sheetName val="Bullet calcs"/>
      <sheetName val="Fixed principal quarterly"/>
      <sheetName val="IO to Equal Qtrly calcs"/>
      <sheetName val="Notes"/>
    </sheetNames>
    <sheetDataSet>
      <sheetData sheetId="0">
        <row r="16">
          <cell r="E16">
            <v>0</v>
          </cell>
        </row>
      </sheetData>
      <sheetData sheetId="1">
        <row r="21">
          <cell r="E21" t="str">
            <v>Amount of the Loan</v>
          </cell>
        </row>
      </sheetData>
      <sheetData sheetId="2">
        <row r="31">
          <cell r="E31">
            <v>2016</v>
          </cell>
        </row>
      </sheetData>
      <sheetData sheetId="3"/>
      <sheetData sheetId="4">
        <row r="159">
          <cell r="B159">
            <v>1</v>
          </cell>
        </row>
      </sheetData>
      <sheetData sheetId="5">
        <row r="7">
          <cell r="C7">
            <v>0</v>
          </cell>
        </row>
      </sheetData>
      <sheetData sheetId="6">
        <row r="7">
          <cell r="C7">
            <v>0</v>
          </cell>
        </row>
      </sheetData>
      <sheetData sheetId="7">
        <row r="7">
          <cell r="C7">
            <v>0</v>
          </cell>
        </row>
      </sheetData>
      <sheetData sheetId="8">
        <row r="7">
          <cell r="C7">
            <v>0</v>
          </cell>
        </row>
      </sheetData>
      <sheetData sheetId="9">
        <row r="7">
          <cell r="C7">
            <v>0</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topLeftCell="A130" zoomScale="60" zoomScaleNormal="60" workbookViewId="0">
      <selection activeCell="H142" sqref="H142"/>
    </sheetView>
  </sheetViews>
  <sheetFormatPr defaultColWidth="9.140625" defaultRowHeight="15" x14ac:dyDescent="0.25"/>
  <cols>
    <col min="1" max="3" width="5.7109375" style="123" customWidth="1"/>
    <col min="4" max="5" width="1.7109375" style="123" customWidth="1"/>
    <col min="6" max="6" width="30.7109375" style="123" customWidth="1"/>
    <col min="7" max="7" width="1.7109375" style="123" customWidth="1"/>
    <col min="8" max="8" width="40.7109375" style="123" customWidth="1"/>
    <col min="9" max="9" width="100.7109375" style="123" customWidth="1"/>
    <col min="10" max="16384" width="9.140625" style="123"/>
  </cols>
  <sheetData>
    <row r="1" spans="1:9" x14ac:dyDescent="0.25">
      <c r="A1" s="126" t="s">
        <v>22</v>
      </c>
      <c r="B1" s="127">
        <v>4.1666666666666664E-2</v>
      </c>
      <c r="C1" s="127">
        <v>0.125</v>
      </c>
      <c r="D1" s="126" t="s">
        <v>321</v>
      </c>
      <c r="E1" s="126"/>
      <c r="F1" s="126"/>
      <c r="G1" s="128"/>
      <c r="H1" s="126" t="s">
        <v>23</v>
      </c>
      <c r="I1" s="126"/>
    </row>
    <row r="2" spans="1:9" x14ac:dyDescent="0.25">
      <c r="A2" s="45"/>
      <c r="B2" s="45"/>
      <c r="C2" s="45"/>
      <c r="D2" s="45"/>
      <c r="E2" s="45"/>
      <c r="F2" s="45"/>
      <c r="G2" s="45"/>
      <c r="H2" s="129" t="s">
        <v>253</v>
      </c>
      <c r="I2" s="45"/>
    </row>
    <row r="3" spans="1:9" x14ac:dyDescent="0.25">
      <c r="A3" s="130" t="s">
        <v>25</v>
      </c>
      <c r="B3" s="131"/>
      <c r="C3" s="131" t="s">
        <v>40</v>
      </c>
      <c r="D3" s="130"/>
      <c r="E3" s="130"/>
      <c r="F3" s="130"/>
      <c r="G3" s="130"/>
      <c r="H3" s="132"/>
      <c r="I3" s="130"/>
    </row>
    <row r="4" spans="1:9" x14ac:dyDescent="0.25">
      <c r="A4" s="45"/>
      <c r="B4" s="46"/>
      <c r="C4" s="46"/>
      <c r="D4" s="45"/>
      <c r="E4" s="45"/>
      <c r="F4" s="147" t="s">
        <v>325</v>
      </c>
      <c r="G4" s="45"/>
      <c r="H4" s="146" t="s">
        <v>330</v>
      </c>
      <c r="I4" s="45"/>
    </row>
    <row r="5" spans="1:9" ht="25.5" x14ac:dyDescent="0.25">
      <c r="A5" s="45"/>
      <c r="B5" s="46"/>
      <c r="C5" s="46"/>
      <c r="D5" s="45"/>
      <c r="E5" s="45"/>
      <c r="F5" s="45" t="s">
        <v>190</v>
      </c>
      <c r="G5" s="45"/>
      <c r="H5" s="124" t="s">
        <v>199</v>
      </c>
      <c r="I5" s="45" t="s">
        <v>200</v>
      </c>
    </row>
    <row r="6" spans="1:9" x14ac:dyDescent="0.25">
      <c r="A6" s="45"/>
      <c r="B6" s="46"/>
      <c r="C6" s="46"/>
      <c r="D6" s="45"/>
      <c r="E6" s="45"/>
      <c r="F6" s="45"/>
      <c r="G6" s="45"/>
      <c r="H6" s="124" t="s">
        <v>225</v>
      </c>
      <c r="I6" s="45" t="s">
        <v>198</v>
      </c>
    </row>
    <row r="7" spans="1:9" x14ac:dyDescent="0.25">
      <c r="A7" s="45"/>
      <c r="B7" s="46"/>
      <c r="C7" s="46"/>
      <c r="D7" s="45"/>
      <c r="E7" s="45"/>
      <c r="F7" s="45"/>
      <c r="G7" s="45"/>
      <c r="H7" s="146" t="s">
        <v>201</v>
      </c>
      <c r="I7" s="45" t="s">
        <v>202</v>
      </c>
    </row>
    <row r="8" spans="1:9" x14ac:dyDescent="0.25">
      <c r="A8" s="45"/>
      <c r="B8" s="46"/>
      <c r="C8" s="46"/>
      <c r="D8" s="45"/>
      <c r="E8" s="45"/>
      <c r="F8" s="45"/>
      <c r="G8" s="45"/>
      <c r="H8" s="124"/>
      <c r="I8" s="45" t="s">
        <v>323</v>
      </c>
    </row>
    <row r="9" spans="1:9" x14ac:dyDescent="0.25">
      <c r="A9" s="45"/>
      <c r="B9" s="46"/>
      <c r="C9" s="46"/>
      <c r="D9" s="45"/>
      <c r="E9" s="45"/>
      <c r="F9" s="45" t="s">
        <v>68</v>
      </c>
      <c r="G9" s="45"/>
      <c r="H9" s="45" t="s">
        <v>226</v>
      </c>
      <c r="I9" s="45" t="s">
        <v>227</v>
      </c>
    </row>
    <row r="10" spans="1:9" x14ac:dyDescent="0.25">
      <c r="A10" s="45"/>
      <c r="B10" s="46"/>
      <c r="C10" s="46"/>
      <c r="D10" s="45"/>
      <c r="E10" s="45"/>
      <c r="F10" s="45"/>
      <c r="G10" s="45"/>
      <c r="H10" s="45"/>
      <c r="I10" s="45"/>
    </row>
    <row r="11" spans="1:9" x14ac:dyDescent="0.25">
      <c r="A11" s="45"/>
      <c r="B11" s="46"/>
      <c r="C11" s="46"/>
      <c r="D11" s="45"/>
      <c r="E11" s="45"/>
      <c r="F11" s="149" t="s">
        <v>328</v>
      </c>
      <c r="G11" s="149"/>
      <c r="H11" s="149"/>
      <c r="I11" s="149" t="s">
        <v>228</v>
      </c>
    </row>
    <row r="12" spans="1:9" x14ac:dyDescent="0.25">
      <c r="A12" s="45"/>
      <c r="B12" s="46"/>
      <c r="C12" s="46"/>
      <c r="D12" s="45"/>
      <c r="E12" s="45"/>
      <c r="F12" s="45"/>
      <c r="G12" s="45"/>
      <c r="H12" s="45"/>
      <c r="I12" s="45" t="s">
        <v>327</v>
      </c>
    </row>
    <row r="13" spans="1:9" x14ac:dyDescent="0.25">
      <c r="A13" s="45"/>
      <c r="B13" s="46"/>
      <c r="C13" s="46"/>
      <c r="D13" s="45"/>
      <c r="E13" s="45"/>
      <c r="F13" s="147" t="s">
        <v>329</v>
      </c>
      <c r="G13" s="45"/>
      <c r="H13" s="147" t="s">
        <v>326</v>
      </c>
      <c r="I13" s="45" t="s">
        <v>191</v>
      </c>
    </row>
    <row r="14" spans="1:9" x14ac:dyDescent="0.25">
      <c r="A14" s="45"/>
      <c r="B14" s="46"/>
      <c r="C14" s="46"/>
      <c r="D14" s="45"/>
      <c r="E14" s="45"/>
      <c r="F14" s="45"/>
      <c r="G14" s="45"/>
      <c r="H14" s="147" t="s">
        <v>322</v>
      </c>
      <c r="I14" s="147" t="s">
        <v>324</v>
      </c>
    </row>
    <row r="15" spans="1:9" x14ac:dyDescent="0.25">
      <c r="A15" s="45"/>
      <c r="B15" s="46"/>
      <c r="C15" s="46"/>
      <c r="D15" s="45"/>
      <c r="E15" s="45"/>
      <c r="F15" s="147" t="s">
        <v>326</v>
      </c>
      <c r="G15" s="45"/>
      <c r="H15" s="45" t="s">
        <v>203</v>
      </c>
      <c r="I15" s="45" t="s">
        <v>230</v>
      </c>
    </row>
    <row r="16" spans="1:9" x14ac:dyDescent="0.25">
      <c r="A16" s="45"/>
      <c r="B16" s="46"/>
      <c r="C16" s="46"/>
      <c r="D16" s="45"/>
      <c r="E16" s="45"/>
      <c r="F16" s="45"/>
      <c r="G16" s="45"/>
      <c r="H16" s="45"/>
      <c r="I16" s="45"/>
    </row>
    <row r="17" spans="1:9" x14ac:dyDescent="0.25">
      <c r="A17" s="130" t="s">
        <v>37</v>
      </c>
      <c r="B17" s="131"/>
      <c r="C17" s="131" t="s">
        <v>77</v>
      </c>
      <c r="D17" s="130"/>
      <c r="E17" s="130"/>
      <c r="F17" s="130"/>
      <c r="G17" s="130"/>
      <c r="H17" s="132"/>
      <c r="I17" s="130"/>
    </row>
    <row r="18" spans="1:9" x14ac:dyDescent="0.25">
      <c r="A18" s="133"/>
      <c r="B18" s="134"/>
      <c r="C18" s="134"/>
      <c r="D18" s="133"/>
      <c r="E18" s="148"/>
      <c r="F18" s="133"/>
      <c r="G18" s="133"/>
      <c r="H18" s="135"/>
      <c r="I18" s="133"/>
    </row>
    <row r="19" spans="1:9" x14ac:dyDescent="0.25">
      <c r="A19" s="45"/>
      <c r="B19" s="46"/>
      <c r="C19" s="46"/>
      <c r="D19" s="45"/>
      <c r="E19" s="148"/>
      <c r="F19" s="47" t="s">
        <v>332</v>
      </c>
      <c r="G19" s="47"/>
      <c r="H19" s="400" t="s">
        <v>229</v>
      </c>
      <c r="I19" s="401"/>
    </row>
    <row r="20" spans="1:9" x14ac:dyDescent="0.25">
      <c r="A20" s="45"/>
      <c r="B20" s="46" t="s">
        <v>331</v>
      </c>
      <c r="C20" s="46"/>
      <c r="D20" s="45"/>
      <c r="E20" s="148"/>
      <c r="F20" s="47" t="s">
        <v>333</v>
      </c>
      <c r="G20" s="47"/>
      <c r="H20" s="47" t="s">
        <v>192</v>
      </c>
      <c r="I20" s="47"/>
    </row>
    <row r="21" spans="1:9" x14ac:dyDescent="0.25">
      <c r="A21" s="45"/>
      <c r="B21" s="46"/>
      <c r="C21" s="46"/>
      <c r="D21" s="45"/>
      <c r="E21" s="148"/>
      <c r="F21" s="148" t="s">
        <v>79</v>
      </c>
      <c r="G21" s="148"/>
      <c r="H21" s="402" t="s">
        <v>80</v>
      </c>
      <c r="I21" s="402"/>
    </row>
    <row r="22" spans="1:9" x14ac:dyDescent="0.25">
      <c r="A22" s="45"/>
      <c r="B22" s="46"/>
      <c r="C22" s="46"/>
      <c r="D22" s="45"/>
      <c r="E22" s="45"/>
      <c r="F22" s="45"/>
      <c r="G22" s="45"/>
      <c r="H22" s="45"/>
      <c r="I22" s="45"/>
    </row>
    <row r="23" spans="1:9" x14ac:dyDescent="0.25">
      <c r="A23" s="126" t="s">
        <v>22</v>
      </c>
      <c r="B23" s="136">
        <v>0.13541666666666666</v>
      </c>
      <c r="C23" s="136">
        <v>0.20833333333333334</v>
      </c>
      <c r="D23" s="404" t="s">
        <v>336</v>
      </c>
      <c r="E23" s="401"/>
      <c r="F23" s="401"/>
      <c r="G23" s="401"/>
      <c r="H23" s="126" t="s">
        <v>23</v>
      </c>
      <c r="I23" s="126" t="s">
        <v>24</v>
      </c>
    </row>
    <row r="24" spans="1:9" x14ac:dyDescent="0.25">
      <c r="A24" s="45"/>
      <c r="B24" s="45"/>
      <c r="C24" s="45"/>
      <c r="D24" s="45"/>
      <c r="E24" s="45"/>
      <c r="F24" s="45"/>
      <c r="G24" s="45"/>
      <c r="H24" s="129" t="s">
        <v>193</v>
      </c>
      <c r="I24" s="45"/>
    </row>
    <row r="25" spans="1:9" x14ac:dyDescent="0.25">
      <c r="A25" s="130" t="s">
        <v>25</v>
      </c>
      <c r="B25" s="131"/>
      <c r="C25" s="131" t="s">
        <v>26</v>
      </c>
      <c r="D25" s="130"/>
      <c r="E25" s="130"/>
      <c r="F25" s="130"/>
      <c r="G25" s="130"/>
      <c r="H25" s="132"/>
      <c r="I25" s="130"/>
    </row>
    <row r="26" spans="1:9" x14ac:dyDescent="0.25">
      <c r="A26" s="45"/>
      <c r="B26" s="46"/>
      <c r="C26" s="46"/>
      <c r="D26" s="45"/>
      <c r="E26" s="45"/>
      <c r="F26" s="45"/>
      <c r="G26" s="45"/>
      <c r="H26" s="124"/>
      <c r="I26" s="45"/>
    </row>
    <row r="27" spans="1:9" x14ac:dyDescent="0.25">
      <c r="A27" s="45"/>
      <c r="B27" s="46"/>
      <c r="C27" s="46"/>
      <c r="D27" s="45"/>
      <c r="E27" s="45"/>
      <c r="F27" s="403" t="s">
        <v>60</v>
      </c>
      <c r="G27" s="45"/>
      <c r="H27" s="124" t="s">
        <v>61</v>
      </c>
      <c r="I27" s="401" t="s">
        <v>232</v>
      </c>
    </row>
    <row r="28" spans="1:9" x14ac:dyDescent="0.25">
      <c r="A28" s="45"/>
      <c r="B28" s="46"/>
      <c r="C28" s="46"/>
      <c r="D28" s="45"/>
      <c r="E28" s="45"/>
      <c r="F28" s="401"/>
      <c r="G28" s="45"/>
      <c r="H28" s="124" t="s">
        <v>62</v>
      </c>
      <c r="I28" s="401"/>
    </row>
    <row r="29" spans="1:9" x14ac:dyDescent="0.25">
      <c r="A29" s="45"/>
      <c r="B29" s="46"/>
      <c r="C29" s="46"/>
      <c r="D29" s="45"/>
      <c r="E29" s="45"/>
      <c r="F29" s="45" t="s">
        <v>335</v>
      </c>
      <c r="G29" s="45"/>
      <c r="H29" s="124" t="s">
        <v>63</v>
      </c>
      <c r="I29" s="401"/>
    </row>
    <row r="30" spans="1:9" x14ac:dyDescent="0.25">
      <c r="A30" s="45"/>
      <c r="B30" s="46"/>
      <c r="C30" s="46"/>
      <c r="D30" s="45"/>
      <c r="E30" s="45"/>
      <c r="F30" s="45"/>
      <c r="G30" s="45"/>
      <c r="H30" s="124" t="s">
        <v>64</v>
      </c>
      <c r="I30" s="401"/>
    </row>
    <row r="31" spans="1:9" x14ac:dyDescent="0.25">
      <c r="A31" s="45"/>
      <c r="B31" s="46"/>
      <c r="C31" s="46"/>
      <c r="D31" s="45"/>
      <c r="E31" s="45"/>
      <c r="F31" s="45"/>
      <c r="G31" s="45"/>
      <c r="H31" s="124" t="s">
        <v>65</v>
      </c>
      <c r="I31" s="401"/>
    </row>
    <row r="32" spans="1:9" x14ac:dyDescent="0.25">
      <c r="A32" s="45"/>
      <c r="B32" s="46"/>
      <c r="C32" s="46"/>
      <c r="D32" s="45"/>
      <c r="E32" s="45"/>
      <c r="F32" s="45"/>
      <c r="G32" s="45"/>
      <c r="H32" s="124"/>
      <c r="I32" s="124"/>
    </row>
    <row r="33" spans="1:9" x14ac:dyDescent="0.25">
      <c r="A33" s="45"/>
      <c r="B33" s="46"/>
      <c r="C33" s="46"/>
      <c r="D33" s="45"/>
      <c r="E33" s="45"/>
      <c r="F33" s="45" t="s">
        <v>320</v>
      </c>
      <c r="G33" s="45"/>
      <c r="H33" s="124" t="s">
        <v>319</v>
      </c>
      <c r="I33" s="45" t="s">
        <v>318</v>
      </c>
    </row>
    <row r="34" spans="1:9" x14ac:dyDescent="0.25">
      <c r="A34" s="45"/>
      <c r="B34" s="46"/>
      <c r="C34" s="46"/>
      <c r="D34" s="45"/>
      <c r="E34" s="45"/>
      <c r="F34" s="45"/>
      <c r="G34" s="45"/>
      <c r="H34" s="124" t="s">
        <v>206</v>
      </c>
      <c r="I34" s="124" t="s">
        <v>54</v>
      </c>
    </row>
    <row r="35" spans="1:9" x14ac:dyDescent="0.25">
      <c r="A35" s="45"/>
      <c r="B35" s="46"/>
      <c r="C35" s="46"/>
      <c r="D35" s="45"/>
      <c r="E35" s="45"/>
      <c r="F35" s="45"/>
      <c r="G35" s="45"/>
      <c r="H35" s="124" t="s">
        <v>55</v>
      </c>
      <c r="I35" s="124" t="s">
        <v>56</v>
      </c>
    </row>
    <row r="36" spans="1:9" x14ac:dyDescent="0.25">
      <c r="A36" s="45"/>
      <c r="B36" s="46"/>
      <c r="C36" s="46"/>
      <c r="D36" s="45"/>
      <c r="E36" s="45"/>
      <c r="F36" s="45"/>
      <c r="G36" s="45"/>
      <c r="H36" s="124" t="s">
        <v>57</v>
      </c>
      <c r="I36" s="124" t="s">
        <v>58</v>
      </c>
    </row>
    <row r="37" spans="1:9" x14ac:dyDescent="0.25">
      <c r="A37" s="45"/>
      <c r="B37" s="46"/>
      <c r="C37" s="46"/>
      <c r="D37" s="45"/>
      <c r="E37" s="45"/>
      <c r="F37" s="45"/>
      <c r="G37" s="45"/>
      <c r="H37" s="124" t="s">
        <v>59</v>
      </c>
      <c r="I37" s="124" t="s">
        <v>231</v>
      </c>
    </row>
    <row r="38" spans="1:9" x14ac:dyDescent="0.25">
      <c r="A38" s="45"/>
      <c r="B38" s="46"/>
      <c r="C38" s="46"/>
      <c r="D38" s="45"/>
      <c r="E38" s="45"/>
      <c r="F38" s="45"/>
      <c r="G38" s="45"/>
      <c r="H38" s="124" t="s">
        <v>204</v>
      </c>
      <c r="I38" s="124" t="s">
        <v>205</v>
      </c>
    </row>
    <row r="39" spans="1:9" x14ac:dyDescent="0.25">
      <c r="A39" s="45"/>
      <c r="B39" s="46"/>
      <c r="C39" s="46"/>
      <c r="D39" s="45"/>
      <c r="E39" s="45"/>
      <c r="F39" s="45"/>
      <c r="G39" s="45"/>
      <c r="H39" s="124"/>
      <c r="I39" s="45"/>
    </row>
    <row r="40" spans="1:9" x14ac:dyDescent="0.25">
      <c r="A40" s="45"/>
      <c r="B40" s="46"/>
      <c r="C40" s="46"/>
      <c r="D40" s="45"/>
      <c r="E40" s="45"/>
      <c r="F40" s="147" t="s">
        <v>334</v>
      </c>
      <c r="G40" s="147"/>
      <c r="H40" s="146" t="s">
        <v>208</v>
      </c>
      <c r="I40" s="147" t="s">
        <v>209</v>
      </c>
    </row>
    <row r="41" spans="1:9" x14ac:dyDescent="0.25">
      <c r="A41" s="45"/>
      <c r="B41" s="46"/>
      <c r="C41" s="46"/>
      <c r="D41" s="45"/>
      <c r="E41" s="45"/>
      <c r="F41" s="147"/>
      <c r="G41" s="147"/>
      <c r="H41" s="146" t="s">
        <v>93</v>
      </c>
      <c r="I41" s="147" t="s">
        <v>207</v>
      </c>
    </row>
    <row r="42" spans="1:9" x14ac:dyDescent="0.25">
      <c r="A42" s="45"/>
      <c r="B42" s="46"/>
      <c r="C42" s="46"/>
      <c r="D42" s="45"/>
      <c r="E42" s="45"/>
      <c r="F42" s="147"/>
      <c r="G42" s="147"/>
      <c r="H42" s="146" t="s">
        <v>94</v>
      </c>
      <c r="I42" s="147" t="s">
        <v>95</v>
      </c>
    </row>
    <row r="43" spans="1:9" x14ac:dyDescent="0.25">
      <c r="A43" s="45"/>
      <c r="B43" s="46"/>
      <c r="C43" s="46"/>
      <c r="D43" s="45"/>
      <c r="E43" s="45"/>
      <c r="F43" s="45"/>
      <c r="G43" s="45"/>
      <c r="H43" s="124"/>
      <c r="I43" s="124"/>
    </row>
    <row r="44" spans="1:9" x14ac:dyDescent="0.25">
      <c r="A44" s="130" t="s">
        <v>37</v>
      </c>
      <c r="B44" s="131"/>
      <c r="C44" s="131" t="s">
        <v>38</v>
      </c>
      <c r="D44" s="130"/>
      <c r="E44" s="130"/>
      <c r="F44" s="130"/>
      <c r="G44" s="130"/>
      <c r="H44" s="132"/>
      <c r="I44" s="130"/>
    </row>
    <row r="45" spans="1:9" x14ac:dyDescent="0.25">
      <c r="A45" s="133"/>
      <c r="B45" s="134"/>
      <c r="C45" s="134"/>
      <c r="D45" s="133"/>
      <c r="E45" s="133"/>
      <c r="F45" s="133"/>
      <c r="G45" s="133"/>
      <c r="H45" s="135"/>
      <c r="I45" s="133"/>
    </row>
    <row r="46" spans="1:9" x14ac:dyDescent="0.25">
      <c r="A46" s="45"/>
      <c r="B46" s="46"/>
      <c r="C46" s="46"/>
      <c r="D46" s="45"/>
      <c r="E46" s="45"/>
      <c r="F46" s="47" t="s">
        <v>78</v>
      </c>
      <c r="G46" s="47"/>
      <c r="H46" s="400" t="s">
        <v>220</v>
      </c>
      <c r="I46" s="401"/>
    </row>
    <row r="47" spans="1:9" x14ac:dyDescent="0.25">
      <c r="A47" s="45"/>
      <c r="B47" s="46"/>
      <c r="C47" s="46"/>
      <c r="D47" s="45"/>
      <c r="E47" s="45"/>
      <c r="F47" s="47" t="s">
        <v>66</v>
      </c>
      <c r="G47" s="47"/>
      <c r="H47" s="400" t="s">
        <v>222</v>
      </c>
      <c r="I47" s="401"/>
    </row>
    <row r="48" spans="1:9" x14ac:dyDescent="0.25">
      <c r="A48" s="45"/>
      <c r="B48" s="46"/>
      <c r="C48" s="46"/>
      <c r="D48" s="45"/>
      <c r="E48" s="45"/>
      <c r="F48" s="47" t="s">
        <v>67</v>
      </c>
      <c r="G48" s="47"/>
      <c r="H48" s="400" t="s">
        <v>221</v>
      </c>
      <c r="I48" s="401"/>
    </row>
    <row r="49" spans="1:9" x14ac:dyDescent="0.25">
      <c r="A49" s="45"/>
      <c r="B49" s="45"/>
      <c r="C49" s="45"/>
      <c r="D49" s="45"/>
      <c r="E49" s="45"/>
      <c r="F49" s="45"/>
      <c r="G49" s="45"/>
      <c r="H49" s="45"/>
      <c r="I49" s="45"/>
    </row>
    <row r="50" spans="1:9" x14ac:dyDescent="0.25">
      <c r="A50" s="126" t="s">
        <v>53</v>
      </c>
      <c r="B50" s="127">
        <v>0.35416666666666669</v>
      </c>
      <c r="C50" s="127">
        <v>0.4375</v>
      </c>
      <c r="D50" s="126" t="s">
        <v>317</v>
      </c>
      <c r="E50" s="126"/>
      <c r="F50" s="126"/>
      <c r="G50" s="128"/>
      <c r="H50" s="137" t="s">
        <v>23</v>
      </c>
      <c r="I50" s="126" t="s">
        <v>24</v>
      </c>
    </row>
    <row r="51" spans="1:9" x14ac:dyDescent="0.25">
      <c r="A51" s="45"/>
      <c r="B51" s="46"/>
      <c r="C51" s="138"/>
      <c r="D51" s="45"/>
      <c r="E51" s="45"/>
      <c r="F51" s="45"/>
      <c r="G51" s="45"/>
      <c r="H51" s="129" t="s">
        <v>186</v>
      </c>
      <c r="I51" s="45"/>
    </row>
    <row r="52" spans="1:9" x14ac:dyDescent="0.25">
      <c r="A52" s="130" t="s">
        <v>25</v>
      </c>
      <c r="B52" s="131"/>
      <c r="C52" s="131" t="s">
        <v>40</v>
      </c>
      <c r="D52" s="130"/>
      <c r="E52" s="130"/>
      <c r="F52" s="130"/>
      <c r="G52" s="130"/>
      <c r="H52" s="132"/>
      <c r="I52" s="130"/>
    </row>
    <row r="53" spans="1:9" x14ac:dyDescent="0.25">
      <c r="A53" s="45"/>
      <c r="B53" s="46"/>
      <c r="C53" s="138"/>
      <c r="D53" s="45"/>
      <c r="E53" s="45"/>
      <c r="F53" s="45"/>
      <c r="G53" s="45"/>
      <c r="H53" s="124"/>
      <c r="I53" s="45"/>
    </row>
    <row r="54" spans="1:9" x14ac:dyDescent="0.25">
      <c r="A54" s="45"/>
      <c r="B54" s="46"/>
      <c r="C54" s="138"/>
      <c r="D54" s="45"/>
      <c r="E54" s="45"/>
      <c r="F54" s="45"/>
      <c r="G54" s="45"/>
      <c r="H54" s="124"/>
      <c r="I54" s="45"/>
    </row>
    <row r="55" spans="1:9" x14ac:dyDescent="0.25">
      <c r="A55" s="45"/>
      <c r="B55" s="46"/>
      <c r="C55" s="138"/>
      <c r="D55" s="45"/>
      <c r="E55" s="45"/>
      <c r="F55" s="45" t="s">
        <v>316</v>
      </c>
      <c r="G55" s="45"/>
      <c r="H55" s="124" t="s">
        <v>315</v>
      </c>
      <c r="I55" s="45" t="s">
        <v>314</v>
      </c>
    </row>
    <row r="56" spans="1:9" x14ac:dyDescent="0.25">
      <c r="A56" s="45"/>
      <c r="B56" s="46"/>
      <c r="C56" s="138"/>
      <c r="D56" s="45"/>
      <c r="E56" s="45"/>
      <c r="F56" s="45"/>
      <c r="G56" s="45"/>
      <c r="H56" s="124" t="s">
        <v>313</v>
      </c>
      <c r="I56" s="45" t="s">
        <v>312</v>
      </c>
    </row>
    <row r="57" spans="1:9" x14ac:dyDescent="0.25">
      <c r="A57" s="45"/>
      <c r="B57" s="46"/>
      <c r="C57" s="138"/>
      <c r="D57" s="45"/>
      <c r="E57" s="45"/>
      <c r="F57" s="45"/>
      <c r="G57" s="45"/>
      <c r="H57" s="124"/>
      <c r="I57" s="45"/>
    </row>
    <row r="58" spans="1:9" x14ac:dyDescent="0.25">
      <c r="A58" s="45"/>
      <c r="B58" s="46"/>
      <c r="C58" s="46"/>
      <c r="D58" s="45"/>
      <c r="E58" s="45"/>
      <c r="F58" s="45" t="s">
        <v>41</v>
      </c>
      <c r="G58" s="45"/>
      <c r="H58" s="124" t="s">
        <v>42</v>
      </c>
      <c r="I58" s="45" t="s">
        <v>233</v>
      </c>
    </row>
    <row r="59" spans="1:9" x14ac:dyDescent="0.25">
      <c r="A59" s="45"/>
      <c r="B59" s="46"/>
      <c r="C59" s="46"/>
      <c r="D59" s="45"/>
      <c r="E59" s="45"/>
      <c r="F59" s="45"/>
      <c r="G59" s="45"/>
      <c r="H59" s="124" t="s">
        <v>43</v>
      </c>
      <c r="I59" s="45" t="s">
        <v>44</v>
      </c>
    </row>
    <row r="60" spans="1:9" x14ac:dyDescent="0.25">
      <c r="A60" s="45"/>
      <c r="B60" s="46"/>
      <c r="C60" s="46"/>
      <c r="D60" s="45"/>
      <c r="E60" s="45"/>
      <c r="F60" s="45"/>
      <c r="G60" s="45"/>
      <c r="H60" s="124"/>
      <c r="I60" s="45"/>
    </row>
    <row r="61" spans="1:9" x14ac:dyDescent="0.25">
      <c r="A61" s="45"/>
      <c r="B61" s="46"/>
      <c r="C61" s="46"/>
      <c r="D61" s="45"/>
      <c r="E61" s="45"/>
      <c r="F61" s="45" t="s">
        <v>45</v>
      </c>
      <c r="G61" s="45"/>
      <c r="H61" s="124" t="s">
        <v>46</v>
      </c>
      <c r="I61" s="45" t="s">
        <v>234</v>
      </c>
    </row>
    <row r="62" spans="1:9" x14ac:dyDescent="0.25">
      <c r="A62" s="45"/>
      <c r="B62" s="46"/>
      <c r="C62" s="46"/>
      <c r="D62" s="45"/>
      <c r="E62" s="45"/>
      <c r="F62" s="45"/>
      <c r="G62" s="45"/>
      <c r="H62" s="124" t="s">
        <v>47</v>
      </c>
      <c r="I62" s="45" t="s">
        <v>48</v>
      </c>
    </row>
    <row r="63" spans="1:9" x14ac:dyDescent="0.25">
      <c r="A63" s="45"/>
      <c r="B63" s="46"/>
      <c r="C63" s="46"/>
      <c r="D63" s="45"/>
      <c r="E63" s="45"/>
      <c r="F63" s="45"/>
      <c r="G63" s="45"/>
      <c r="H63" s="124" t="s">
        <v>49</v>
      </c>
      <c r="I63" s="45" t="s">
        <v>50</v>
      </c>
    </row>
    <row r="64" spans="1:9" x14ac:dyDescent="0.25">
      <c r="A64" s="45"/>
      <c r="B64" s="46"/>
      <c r="C64" s="46"/>
      <c r="D64" s="45"/>
      <c r="E64" s="45"/>
      <c r="F64" s="45"/>
      <c r="G64" s="45"/>
      <c r="H64" s="124"/>
      <c r="I64" s="45"/>
    </row>
    <row r="65" spans="1:9" x14ac:dyDescent="0.25">
      <c r="A65" s="45"/>
      <c r="B65" s="46"/>
      <c r="C65" s="46"/>
      <c r="D65" s="45"/>
      <c r="E65" s="45"/>
      <c r="F65" s="45" t="s">
        <v>311</v>
      </c>
      <c r="G65" s="45"/>
      <c r="H65" s="124" t="s">
        <v>310</v>
      </c>
      <c r="I65" s="45" t="s">
        <v>309</v>
      </c>
    </row>
    <row r="66" spans="1:9" x14ac:dyDescent="0.25">
      <c r="A66" s="45"/>
      <c r="B66" s="46"/>
      <c r="C66" s="46"/>
      <c r="D66" s="45"/>
      <c r="E66" s="45"/>
      <c r="F66" s="45"/>
      <c r="G66" s="45"/>
      <c r="H66" s="124" t="s">
        <v>51</v>
      </c>
      <c r="I66" s="45" t="s">
        <v>308</v>
      </c>
    </row>
    <row r="67" spans="1:9" x14ac:dyDescent="0.25">
      <c r="A67" s="45"/>
      <c r="B67" s="46"/>
      <c r="C67" s="46"/>
      <c r="D67" s="45"/>
      <c r="E67" s="45"/>
      <c r="F67" s="45"/>
      <c r="G67" s="45"/>
      <c r="H67" s="124" t="s">
        <v>52</v>
      </c>
      <c r="I67" s="45" t="s">
        <v>223</v>
      </c>
    </row>
    <row r="68" spans="1:9" x14ac:dyDescent="0.25">
      <c r="A68" s="45"/>
      <c r="B68" s="46"/>
      <c r="C68" s="46"/>
      <c r="D68" s="45"/>
      <c r="E68" s="45"/>
      <c r="F68" s="45"/>
      <c r="G68" s="45"/>
      <c r="H68" s="124" t="s">
        <v>9</v>
      </c>
      <c r="I68" s="45" t="s">
        <v>307</v>
      </c>
    </row>
    <row r="69" spans="1:9" x14ac:dyDescent="0.25">
      <c r="A69" s="45"/>
      <c r="B69" s="46"/>
      <c r="C69" s="46"/>
      <c r="D69" s="45"/>
      <c r="E69" s="45"/>
      <c r="F69" s="45"/>
      <c r="G69" s="45"/>
      <c r="H69" s="124" t="s">
        <v>218</v>
      </c>
      <c r="I69" s="45" t="s">
        <v>219</v>
      </c>
    </row>
    <row r="70" spans="1:9" x14ac:dyDescent="0.25">
      <c r="A70" s="45"/>
      <c r="B70" s="46"/>
      <c r="C70" s="46"/>
      <c r="D70" s="45"/>
      <c r="E70" s="45"/>
      <c r="F70" s="45"/>
      <c r="G70" s="45"/>
      <c r="H70" s="45"/>
      <c r="I70" s="45"/>
    </row>
    <row r="71" spans="1:9" x14ac:dyDescent="0.25">
      <c r="A71" s="130" t="s">
        <v>37</v>
      </c>
      <c r="B71" s="131"/>
      <c r="C71" s="131" t="s">
        <v>38</v>
      </c>
      <c r="D71" s="130"/>
      <c r="E71" s="130"/>
      <c r="F71" s="130"/>
      <c r="G71" s="130"/>
      <c r="H71" s="132"/>
      <c r="I71" s="130"/>
    </row>
    <row r="72" spans="1:9" x14ac:dyDescent="0.25">
      <c r="A72" s="133"/>
      <c r="B72" s="134"/>
      <c r="C72" s="134"/>
      <c r="D72" s="133"/>
      <c r="E72" s="133"/>
      <c r="F72" s="133"/>
      <c r="G72" s="133"/>
      <c r="H72" s="135"/>
      <c r="I72" s="133"/>
    </row>
    <row r="73" spans="1:9" x14ac:dyDescent="0.25">
      <c r="A73" s="45"/>
      <c r="B73" s="46"/>
      <c r="C73" s="46"/>
      <c r="D73" s="45"/>
      <c r="E73" s="45"/>
      <c r="F73" s="47" t="s">
        <v>306</v>
      </c>
      <c r="G73" s="47"/>
      <c r="H73" s="400" t="s">
        <v>305</v>
      </c>
      <c r="I73" s="401"/>
    </row>
    <row r="74" spans="1:9" x14ac:dyDescent="0.25">
      <c r="A74" s="45"/>
      <c r="B74" s="46"/>
      <c r="C74" s="46"/>
      <c r="D74" s="45"/>
      <c r="E74" s="45"/>
      <c r="F74" s="47" t="s">
        <v>304</v>
      </c>
      <c r="G74" s="47"/>
      <c r="H74" s="400" t="s">
        <v>303</v>
      </c>
      <c r="I74" s="401"/>
    </row>
    <row r="75" spans="1:9" x14ac:dyDescent="0.25">
      <c r="A75" s="45"/>
      <c r="B75" s="46"/>
      <c r="C75" s="46"/>
      <c r="D75" s="45"/>
      <c r="E75" s="45"/>
      <c r="F75" s="47" t="s">
        <v>302</v>
      </c>
      <c r="G75" s="47"/>
      <c r="H75" s="400" t="s">
        <v>301</v>
      </c>
      <c r="I75" s="405"/>
    </row>
    <row r="76" spans="1:9" x14ac:dyDescent="0.25">
      <c r="A76" s="45"/>
      <c r="B76" s="45"/>
      <c r="C76" s="45"/>
      <c r="D76" s="45"/>
      <c r="E76" s="45"/>
      <c r="F76" s="45"/>
      <c r="G76" s="45"/>
      <c r="H76" s="45"/>
      <c r="I76" s="45"/>
    </row>
    <row r="77" spans="1:9" x14ac:dyDescent="0.25">
      <c r="A77" s="126" t="s">
        <v>53</v>
      </c>
      <c r="B77" s="127">
        <v>0.44791666666666669</v>
      </c>
      <c r="C77" s="127">
        <v>0.52083333333333337</v>
      </c>
      <c r="D77" s="126" t="s">
        <v>300</v>
      </c>
      <c r="E77" s="126"/>
      <c r="F77" s="126"/>
      <c r="G77" s="128"/>
      <c r="H77" s="126" t="s">
        <v>23</v>
      </c>
      <c r="I77" s="126" t="s">
        <v>24</v>
      </c>
    </row>
    <row r="78" spans="1:9" x14ac:dyDescent="0.25">
      <c r="A78" s="45"/>
      <c r="B78" s="45"/>
      <c r="C78" s="46"/>
      <c r="D78" s="46"/>
      <c r="E78" s="45"/>
      <c r="F78" s="45"/>
      <c r="G78" s="45"/>
      <c r="H78" s="129" t="s">
        <v>196</v>
      </c>
      <c r="I78" s="45"/>
    </row>
    <row r="79" spans="1:9" x14ac:dyDescent="0.25">
      <c r="A79" s="130" t="s">
        <v>25</v>
      </c>
      <c r="B79" s="131"/>
      <c r="C79" s="131" t="s">
        <v>26</v>
      </c>
      <c r="D79" s="130"/>
      <c r="E79" s="130"/>
      <c r="F79" s="130"/>
      <c r="G79" s="130"/>
      <c r="H79" s="132"/>
      <c r="I79" s="130"/>
    </row>
    <row r="80" spans="1:9" x14ac:dyDescent="0.25">
      <c r="A80" s="45"/>
      <c r="B80" s="46"/>
      <c r="C80" s="46"/>
      <c r="D80" s="45"/>
      <c r="E80" s="45"/>
      <c r="F80" s="45"/>
      <c r="G80" s="45"/>
      <c r="H80" s="45"/>
      <c r="I80" s="45"/>
    </row>
    <row r="81" spans="1:9" x14ac:dyDescent="0.25">
      <c r="A81" s="45"/>
      <c r="B81" s="46"/>
      <c r="C81" s="46"/>
      <c r="D81" s="45"/>
      <c r="E81" s="45"/>
      <c r="F81" s="45" t="s">
        <v>81</v>
      </c>
      <c r="G81" s="45"/>
      <c r="H81" s="124" t="s">
        <v>82</v>
      </c>
      <c r="I81" s="45" t="s">
        <v>217</v>
      </c>
    </row>
    <row r="82" spans="1:9" x14ac:dyDescent="0.25">
      <c r="A82" s="45"/>
      <c r="B82" s="46"/>
      <c r="C82" s="46"/>
      <c r="D82" s="45"/>
      <c r="E82" s="45"/>
      <c r="F82" s="45"/>
      <c r="G82" s="45"/>
      <c r="H82" s="124" t="s">
        <v>83</v>
      </c>
      <c r="I82" s="45" t="s">
        <v>84</v>
      </c>
    </row>
    <row r="83" spans="1:9" x14ac:dyDescent="0.25">
      <c r="A83" s="45"/>
      <c r="B83" s="46"/>
      <c r="C83" s="46"/>
      <c r="D83" s="45"/>
      <c r="E83" s="45"/>
      <c r="F83" s="45"/>
      <c r="G83" s="45"/>
      <c r="H83" s="45"/>
      <c r="I83" s="45"/>
    </row>
    <row r="84" spans="1:9" x14ac:dyDescent="0.25">
      <c r="A84" s="45"/>
      <c r="B84" s="46"/>
      <c r="C84" s="46"/>
      <c r="D84" s="45"/>
      <c r="E84" s="45"/>
      <c r="F84" s="45" t="s">
        <v>27</v>
      </c>
      <c r="G84" s="45"/>
      <c r="H84" s="124" t="s">
        <v>28</v>
      </c>
      <c r="I84" s="45" t="s">
        <v>215</v>
      </c>
    </row>
    <row r="85" spans="1:9" ht="25.5" x14ac:dyDescent="0.25">
      <c r="A85" s="45"/>
      <c r="B85" s="46"/>
      <c r="C85" s="46"/>
      <c r="D85" s="45"/>
      <c r="E85" s="45"/>
      <c r="F85" s="45"/>
      <c r="G85" s="45"/>
      <c r="H85" s="124" t="s">
        <v>212</v>
      </c>
      <c r="I85" s="45" t="s">
        <v>216</v>
      </c>
    </row>
    <row r="86" spans="1:9" x14ac:dyDescent="0.25">
      <c r="A86" s="45"/>
      <c r="B86" s="46"/>
      <c r="C86" s="46"/>
      <c r="D86" s="45"/>
      <c r="E86" s="45"/>
      <c r="F86" s="45"/>
      <c r="G86" s="45"/>
      <c r="H86" s="124" t="s">
        <v>213</v>
      </c>
      <c r="I86" s="45" t="s">
        <v>214</v>
      </c>
    </row>
    <row r="87" spans="1:9" x14ac:dyDescent="0.25">
      <c r="A87" s="45"/>
      <c r="B87" s="46"/>
      <c r="C87" s="46"/>
      <c r="D87" s="45"/>
      <c r="E87" s="45"/>
      <c r="F87" s="45"/>
      <c r="G87" s="45"/>
      <c r="H87" s="45"/>
      <c r="I87" s="45"/>
    </row>
    <row r="88" spans="1:9" x14ac:dyDescent="0.25">
      <c r="A88" s="45"/>
      <c r="B88" s="46"/>
      <c r="C88" s="46"/>
      <c r="D88" s="45"/>
      <c r="E88" s="45"/>
      <c r="F88" s="45" t="s">
        <v>15</v>
      </c>
      <c r="G88" s="45"/>
      <c r="H88" s="124" t="s">
        <v>33</v>
      </c>
      <c r="I88" s="45" t="s">
        <v>224</v>
      </c>
    </row>
    <row r="89" spans="1:9" x14ac:dyDescent="0.25">
      <c r="A89" s="45"/>
      <c r="B89" s="46"/>
      <c r="C89" s="46"/>
      <c r="D89" s="45"/>
      <c r="E89" s="45"/>
      <c r="F89" s="45"/>
      <c r="G89" s="45"/>
      <c r="H89" s="124" t="s">
        <v>29</v>
      </c>
      <c r="I89" s="45" t="s">
        <v>30</v>
      </c>
    </row>
    <row r="90" spans="1:9" x14ac:dyDescent="0.25">
      <c r="A90" s="45"/>
      <c r="B90" s="46"/>
      <c r="C90" s="46"/>
      <c r="D90" s="45"/>
      <c r="E90" s="45"/>
      <c r="F90" s="45"/>
      <c r="G90" s="45"/>
      <c r="H90" s="124" t="s">
        <v>31</v>
      </c>
      <c r="I90" s="45" t="s">
        <v>32</v>
      </c>
    </row>
    <row r="91" spans="1:9" x14ac:dyDescent="0.25">
      <c r="A91" s="45"/>
      <c r="B91" s="46"/>
      <c r="C91" s="46"/>
      <c r="D91" s="45"/>
      <c r="E91" s="45"/>
      <c r="F91" s="45"/>
      <c r="G91" s="45"/>
      <c r="H91" s="124" t="s">
        <v>34</v>
      </c>
      <c r="I91" s="45" t="s">
        <v>210</v>
      </c>
    </row>
    <row r="92" spans="1:9" x14ac:dyDescent="0.25">
      <c r="A92" s="45"/>
      <c r="B92" s="46"/>
      <c r="C92" s="46"/>
      <c r="D92" s="45"/>
      <c r="E92" s="45"/>
      <c r="F92" s="45"/>
      <c r="G92" s="45"/>
      <c r="H92" s="124" t="s">
        <v>35</v>
      </c>
      <c r="I92" s="45" t="s">
        <v>36</v>
      </c>
    </row>
    <row r="93" spans="1:9" x14ac:dyDescent="0.25">
      <c r="A93" s="45"/>
      <c r="B93" s="45"/>
      <c r="C93" s="45"/>
      <c r="D93" s="45"/>
      <c r="E93" s="45"/>
      <c r="F93" s="45"/>
      <c r="G93" s="45"/>
      <c r="H93" s="124"/>
      <c r="I93" s="45"/>
    </row>
    <row r="94" spans="1:9" x14ac:dyDescent="0.25">
      <c r="A94" s="45"/>
      <c r="B94" s="45"/>
      <c r="C94" s="45"/>
      <c r="D94" s="45"/>
      <c r="E94" s="45"/>
      <c r="F94" s="45" t="s">
        <v>69</v>
      </c>
      <c r="G94" s="45"/>
      <c r="H94" s="45" t="s">
        <v>70</v>
      </c>
      <c r="I94" s="45" t="s">
        <v>235</v>
      </c>
    </row>
    <row r="95" spans="1:9" x14ac:dyDescent="0.25">
      <c r="A95" s="45"/>
      <c r="B95" s="45"/>
      <c r="C95" s="45"/>
      <c r="D95" s="45"/>
      <c r="E95" s="45"/>
      <c r="F95" s="45"/>
      <c r="G95" s="45"/>
      <c r="H95" s="45" t="s">
        <v>71</v>
      </c>
      <c r="I95" s="45" t="s">
        <v>72</v>
      </c>
    </row>
    <row r="96" spans="1:9" x14ac:dyDescent="0.25">
      <c r="A96" s="45"/>
      <c r="B96" s="45"/>
      <c r="C96" s="45"/>
      <c r="D96" s="45"/>
      <c r="E96" s="45"/>
      <c r="F96" s="45"/>
      <c r="G96" s="45"/>
      <c r="H96" s="45"/>
      <c r="I96" s="45"/>
    </row>
    <row r="97" spans="1:9" x14ac:dyDescent="0.25">
      <c r="A97" s="45"/>
      <c r="B97" s="45"/>
      <c r="C97" s="45"/>
      <c r="D97" s="45"/>
      <c r="E97" s="45"/>
      <c r="F97" s="45" t="s">
        <v>75</v>
      </c>
      <c r="G97" s="45"/>
      <c r="H97" s="45" t="s">
        <v>76</v>
      </c>
      <c r="I97" s="45" t="s">
        <v>211</v>
      </c>
    </row>
    <row r="98" spans="1:9" x14ac:dyDescent="0.25">
      <c r="A98" s="45"/>
      <c r="B98" s="45"/>
      <c r="C98" s="45"/>
      <c r="D98" s="45"/>
      <c r="E98" s="45"/>
      <c r="F98" s="45"/>
      <c r="G98" s="45"/>
      <c r="H98" s="45"/>
      <c r="I98" s="45"/>
    </row>
    <row r="99" spans="1:9" x14ac:dyDescent="0.25">
      <c r="A99" s="130" t="s">
        <v>37</v>
      </c>
      <c r="B99" s="131"/>
      <c r="C99" s="131" t="s">
        <v>38</v>
      </c>
      <c r="D99" s="130"/>
      <c r="E99" s="130"/>
      <c r="F99" s="130"/>
      <c r="G99" s="130"/>
      <c r="H99" s="132"/>
      <c r="I99" s="130"/>
    </row>
    <row r="100" spans="1:9" x14ac:dyDescent="0.25">
      <c r="A100" s="133"/>
      <c r="B100" s="134"/>
      <c r="C100" s="134"/>
      <c r="D100" s="133"/>
      <c r="E100" s="133"/>
      <c r="F100" s="133"/>
      <c r="G100" s="133"/>
      <c r="H100" s="135"/>
      <c r="I100" s="133"/>
    </row>
    <row r="101" spans="1:9" x14ac:dyDescent="0.25">
      <c r="A101" s="45"/>
      <c r="B101" s="46"/>
      <c r="C101" s="46"/>
      <c r="D101" s="45"/>
      <c r="E101" s="45"/>
      <c r="F101" s="47" t="s">
        <v>236</v>
      </c>
      <c r="G101" s="47"/>
      <c r="H101" s="47" t="s">
        <v>237</v>
      </c>
      <c r="I101" s="47"/>
    </row>
    <row r="102" spans="1:9" x14ac:dyDescent="0.25">
      <c r="A102" s="45"/>
      <c r="B102" s="45"/>
      <c r="C102" s="45"/>
      <c r="D102" s="45"/>
      <c r="E102" s="45"/>
      <c r="F102" s="47" t="s">
        <v>39</v>
      </c>
      <c r="G102" s="47"/>
      <c r="H102" s="400" t="s">
        <v>238</v>
      </c>
      <c r="I102" s="401"/>
    </row>
    <row r="103" spans="1:9" x14ac:dyDescent="0.25">
      <c r="A103" s="45"/>
      <c r="B103" s="45"/>
      <c r="C103" s="45"/>
      <c r="D103" s="45"/>
      <c r="E103" s="45"/>
      <c r="F103" s="47" t="s">
        <v>197</v>
      </c>
      <c r="G103" s="47"/>
      <c r="H103" s="400" t="s">
        <v>239</v>
      </c>
      <c r="I103" s="401"/>
    </row>
    <row r="104" spans="1:9" x14ac:dyDescent="0.25">
      <c r="A104" s="45"/>
      <c r="B104" s="45"/>
      <c r="C104" s="45"/>
      <c r="D104" s="45"/>
      <c r="E104" s="45"/>
      <c r="F104" s="45"/>
      <c r="G104" s="45"/>
      <c r="H104" s="45"/>
      <c r="I104" s="45"/>
    </row>
    <row r="105" spans="1:9" x14ac:dyDescent="0.25">
      <c r="A105" s="126" t="s">
        <v>53</v>
      </c>
      <c r="B105" s="127">
        <v>0.52083333333333337</v>
      </c>
      <c r="C105" s="127">
        <v>6.25E-2</v>
      </c>
      <c r="D105" s="126" t="s">
        <v>299</v>
      </c>
      <c r="E105" s="126"/>
      <c r="F105" s="126"/>
      <c r="G105" s="128"/>
      <c r="H105" s="139"/>
      <c r="I105" s="128"/>
    </row>
    <row r="106" spans="1:9" x14ac:dyDescent="0.25">
      <c r="A106" s="45"/>
      <c r="B106" s="140"/>
      <c r="C106" s="140"/>
      <c r="D106" s="45"/>
      <c r="E106" s="45"/>
      <c r="F106" s="45"/>
      <c r="G106" s="45"/>
      <c r="H106" s="124"/>
      <c r="I106" s="45"/>
    </row>
    <row r="107" spans="1:9" x14ac:dyDescent="0.25">
      <c r="A107" s="45"/>
      <c r="B107" s="140"/>
      <c r="C107" s="140"/>
      <c r="D107" s="45"/>
      <c r="E107" s="45"/>
      <c r="F107" s="45" t="s">
        <v>240</v>
      </c>
      <c r="G107" s="45"/>
      <c r="H107" s="124"/>
      <c r="I107" s="45"/>
    </row>
    <row r="108" spans="1:9" x14ac:dyDescent="0.25">
      <c r="A108" s="45"/>
      <c r="B108" s="140"/>
      <c r="C108" s="140"/>
      <c r="D108" s="45"/>
      <c r="E108" s="45"/>
      <c r="F108" s="45"/>
      <c r="G108" s="45"/>
      <c r="H108" s="124"/>
      <c r="I108" s="45"/>
    </row>
    <row r="109" spans="1:9" x14ac:dyDescent="0.25">
      <c r="A109" s="126" t="s">
        <v>53</v>
      </c>
      <c r="B109" s="127">
        <v>6.25E-2</v>
      </c>
      <c r="C109" s="127">
        <v>0.11458333333333333</v>
      </c>
      <c r="D109" s="126" t="s">
        <v>298</v>
      </c>
      <c r="E109" s="126"/>
      <c r="F109" s="126"/>
      <c r="G109" s="128"/>
      <c r="H109" s="126" t="s">
        <v>23</v>
      </c>
      <c r="I109" s="126" t="s">
        <v>24</v>
      </c>
    </row>
    <row r="110" spans="1:9" x14ac:dyDescent="0.25">
      <c r="A110" s="45"/>
      <c r="B110" s="46"/>
      <c r="C110" s="46"/>
      <c r="D110" s="45"/>
      <c r="E110" s="45"/>
      <c r="F110" s="45"/>
      <c r="G110" s="45"/>
      <c r="H110" s="141" t="s">
        <v>195</v>
      </c>
      <c r="I110" s="45"/>
    </row>
    <row r="111" spans="1:9" x14ac:dyDescent="0.25">
      <c r="A111" s="130" t="s">
        <v>25</v>
      </c>
      <c r="B111" s="131"/>
      <c r="C111" s="131" t="s">
        <v>297</v>
      </c>
      <c r="D111" s="130"/>
      <c r="E111" s="130"/>
      <c r="F111" s="130"/>
      <c r="G111" s="130"/>
      <c r="H111" s="132"/>
      <c r="I111" s="130"/>
    </row>
    <row r="112" spans="1:9" x14ac:dyDescent="0.25">
      <c r="A112" s="45"/>
      <c r="B112" s="46"/>
      <c r="C112" s="46"/>
      <c r="D112" s="45"/>
      <c r="E112" s="45"/>
      <c r="F112" s="45"/>
      <c r="G112" s="45"/>
      <c r="H112" s="45"/>
      <c r="I112" s="45"/>
    </row>
    <row r="113" spans="1:9" x14ac:dyDescent="0.25">
      <c r="A113" s="45"/>
      <c r="B113" s="46"/>
      <c r="C113" s="46"/>
      <c r="D113" s="45"/>
      <c r="E113" s="45"/>
      <c r="F113" s="45" t="s">
        <v>85</v>
      </c>
      <c r="G113" s="45"/>
      <c r="H113" s="124" t="s">
        <v>86</v>
      </c>
      <c r="I113" s="45" t="s">
        <v>87</v>
      </c>
    </row>
    <row r="114" spans="1:9" x14ac:dyDescent="0.25">
      <c r="A114" s="45"/>
      <c r="B114" s="46"/>
      <c r="C114" s="46"/>
      <c r="D114" s="45"/>
      <c r="E114" s="45"/>
      <c r="F114" s="45"/>
      <c r="G114" s="45"/>
      <c r="H114" s="124" t="s">
        <v>88</v>
      </c>
      <c r="I114" s="45" t="s">
        <v>89</v>
      </c>
    </row>
    <row r="115" spans="1:9" x14ac:dyDescent="0.25">
      <c r="A115" s="45"/>
      <c r="B115" s="46"/>
      <c r="C115" s="46"/>
      <c r="D115" s="45"/>
      <c r="E115" s="45"/>
      <c r="F115" s="45"/>
      <c r="G115" s="45"/>
      <c r="H115" s="124"/>
      <c r="I115" s="45"/>
    </row>
    <row r="116" spans="1:9" x14ac:dyDescent="0.25">
      <c r="A116" s="45"/>
      <c r="B116" s="46"/>
      <c r="C116" s="46"/>
      <c r="D116" s="45"/>
      <c r="E116" s="45"/>
      <c r="F116" s="45" t="s">
        <v>90</v>
      </c>
      <c r="G116" s="45"/>
      <c r="H116" s="124" t="s">
        <v>91</v>
      </c>
      <c r="I116" s="45" t="s">
        <v>241</v>
      </c>
    </row>
    <row r="117" spans="1:9" x14ac:dyDescent="0.25">
      <c r="A117" s="45"/>
      <c r="B117" s="46"/>
      <c r="C117" s="46"/>
      <c r="D117" s="45"/>
      <c r="E117" s="45"/>
      <c r="F117" s="45"/>
      <c r="G117" s="45"/>
      <c r="H117" s="45" t="s">
        <v>92</v>
      </c>
      <c r="I117" s="45" t="s">
        <v>194</v>
      </c>
    </row>
    <row r="118" spans="1:9" x14ac:dyDescent="0.25">
      <c r="A118" s="45"/>
      <c r="B118" s="46"/>
      <c r="C118" s="46"/>
      <c r="D118" s="45"/>
      <c r="E118" s="45"/>
      <c r="F118" s="45"/>
      <c r="G118" s="45"/>
      <c r="H118" s="45"/>
      <c r="I118" s="45"/>
    </row>
    <row r="119" spans="1:9" x14ac:dyDescent="0.25">
      <c r="A119" s="45"/>
      <c r="B119" s="46"/>
      <c r="C119" s="46"/>
      <c r="D119" s="45"/>
      <c r="E119" s="45"/>
      <c r="F119" s="45" t="s">
        <v>96</v>
      </c>
      <c r="G119" s="45"/>
      <c r="H119" s="45" t="s">
        <v>97</v>
      </c>
      <c r="I119" s="45" t="s">
        <v>242</v>
      </c>
    </row>
    <row r="120" spans="1:9" x14ac:dyDescent="0.25">
      <c r="A120" s="45"/>
      <c r="B120" s="46"/>
      <c r="C120" s="46"/>
      <c r="D120" s="45"/>
      <c r="E120" s="45"/>
      <c r="F120" s="45"/>
      <c r="G120" s="45"/>
      <c r="H120" s="124" t="s">
        <v>98</v>
      </c>
      <c r="I120" s="45" t="s">
        <v>99</v>
      </c>
    </row>
    <row r="121" spans="1:9" x14ac:dyDescent="0.25">
      <c r="A121" s="45"/>
      <c r="B121" s="46"/>
      <c r="C121" s="46"/>
      <c r="D121" s="45"/>
      <c r="E121" s="45"/>
      <c r="F121" s="45"/>
      <c r="G121" s="45"/>
      <c r="H121" s="124" t="s">
        <v>100</v>
      </c>
      <c r="I121" s="45" t="s">
        <v>101</v>
      </c>
    </row>
    <row r="122" spans="1:9" x14ac:dyDescent="0.25">
      <c r="A122" s="45"/>
      <c r="B122" s="46"/>
      <c r="C122" s="46"/>
      <c r="D122" s="45"/>
      <c r="E122" s="45"/>
      <c r="F122" s="45"/>
      <c r="G122" s="45"/>
      <c r="H122" s="124" t="s">
        <v>102</v>
      </c>
      <c r="I122" s="45" t="s">
        <v>243</v>
      </c>
    </row>
    <row r="123" spans="1:9" x14ac:dyDescent="0.25">
      <c r="A123" s="45"/>
      <c r="B123" s="46"/>
      <c r="C123" s="46"/>
      <c r="D123" s="45"/>
      <c r="E123" s="45"/>
      <c r="F123" s="45"/>
      <c r="G123" s="45"/>
      <c r="H123" s="124"/>
      <c r="I123" s="45"/>
    </row>
    <row r="124" spans="1:9" x14ac:dyDescent="0.25">
      <c r="A124" s="45"/>
      <c r="B124" s="46"/>
      <c r="C124" s="46"/>
      <c r="D124" s="45"/>
      <c r="E124" s="45"/>
      <c r="F124" s="45" t="s">
        <v>73</v>
      </c>
      <c r="G124" s="45"/>
      <c r="H124" s="45" t="s">
        <v>74</v>
      </c>
      <c r="I124" s="45" t="s">
        <v>244</v>
      </c>
    </row>
    <row r="125" spans="1:9" x14ac:dyDescent="0.25">
      <c r="A125" s="45"/>
      <c r="B125" s="46"/>
      <c r="C125" s="46"/>
      <c r="D125" s="45"/>
      <c r="E125" s="45"/>
      <c r="F125" s="45"/>
      <c r="G125" s="45"/>
      <c r="H125" s="45" t="s">
        <v>71</v>
      </c>
      <c r="I125" s="45" t="s">
        <v>245</v>
      </c>
    </row>
    <row r="126" spans="1:9" x14ac:dyDescent="0.25">
      <c r="A126" s="45"/>
      <c r="B126" s="46"/>
      <c r="C126" s="46"/>
      <c r="D126" s="45"/>
      <c r="E126" s="45"/>
      <c r="F126" s="45"/>
      <c r="G126" s="45"/>
      <c r="H126" s="124"/>
      <c r="I126" s="45"/>
    </row>
    <row r="127" spans="1:9" x14ac:dyDescent="0.25">
      <c r="A127" s="130" t="s">
        <v>37</v>
      </c>
      <c r="B127" s="131"/>
      <c r="C127" s="131" t="s">
        <v>38</v>
      </c>
      <c r="D127" s="130"/>
      <c r="E127" s="130"/>
      <c r="F127" s="130"/>
      <c r="G127" s="130"/>
      <c r="H127" s="132"/>
      <c r="I127" s="130"/>
    </row>
    <row r="128" spans="1:9" x14ac:dyDescent="0.25">
      <c r="A128" s="133"/>
      <c r="B128" s="134"/>
      <c r="C128" s="134"/>
      <c r="D128" s="133"/>
      <c r="E128" s="133"/>
      <c r="F128" s="133"/>
      <c r="G128" s="133"/>
      <c r="H128" s="135"/>
      <c r="I128" s="133"/>
    </row>
    <row r="129" spans="1:9" x14ac:dyDescent="0.25">
      <c r="A129" s="45"/>
      <c r="B129" s="46"/>
      <c r="C129" s="46"/>
      <c r="D129" s="45"/>
      <c r="E129" s="45"/>
      <c r="F129" s="47" t="s">
        <v>246</v>
      </c>
      <c r="G129" s="47"/>
      <c r="H129" s="47" t="s">
        <v>247</v>
      </c>
      <c r="I129" s="47"/>
    </row>
    <row r="130" spans="1:9" x14ac:dyDescent="0.25">
      <c r="A130" s="45"/>
      <c r="B130" s="46"/>
      <c r="C130" s="46"/>
      <c r="D130" s="45"/>
      <c r="E130" s="45"/>
      <c r="F130" s="47" t="s">
        <v>250</v>
      </c>
      <c r="G130" s="47"/>
      <c r="H130" s="47" t="s">
        <v>251</v>
      </c>
      <c r="I130" s="47"/>
    </row>
    <row r="131" spans="1:9" x14ac:dyDescent="0.25">
      <c r="A131" s="45"/>
      <c r="B131" s="46"/>
      <c r="C131" s="46"/>
      <c r="D131" s="45"/>
      <c r="E131" s="45"/>
      <c r="F131" s="47" t="s">
        <v>249</v>
      </c>
      <c r="G131" s="47"/>
      <c r="H131" s="47" t="s">
        <v>248</v>
      </c>
      <c r="I131" s="47"/>
    </row>
    <row r="132" spans="1:9" x14ac:dyDescent="0.25">
      <c r="A132" s="45"/>
      <c r="B132" s="46"/>
      <c r="C132" s="46"/>
      <c r="D132" s="45"/>
      <c r="E132" s="45"/>
      <c r="F132" s="45"/>
      <c r="G132" s="45"/>
      <c r="H132" s="124"/>
      <c r="I132" s="45"/>
    </row>
    <row r="133" spans="1:9" x14ac:dyDescent="0.25">
      <c r="A133" s="126" t="s">
        <v>53</v>
      </c>
      <c r="B133" s="142">
        <v>0.125</v>
      </c>
      <c r="C133" s="142">
        <v>0.20833333333333334</v>
      </c>
      <c r="D133" s="126" t="s">
        <v>103</v>
      </c>
      <c r="E133" s="126"/>
      <c r="F133" s="126"/>
      <c r="G133" s="128"/>
      <c r="H133" s="128"/>
      <c r="I133" s="128"/>
    </row>
    <row r="134" spans="1:9" x14ac:dyDescent="0.25">
      <c r="A134" s="45"/>
      <c r="B134" s="46"/>
      <c r="C134" s="46"/>
      <c r="D134" s="45"/>
      <c r="E134" s="45"/>
      <c r="F134" s="45"/>
      <c r="G134" s="45"/>
      <c r="H134" s="45"/>
      <c r="I134" s="45"/>
    </row>
    <row r="135" spans="1:9" x14ac:dyDescent="0.25">
      <c r="A135" s="45"/>
      <c r="B135" s="46"/>
      <c r="C135" s="46"/>
      <c r="D135" s="45"/>
      <c r="E135" s="45"/>
      <c r="F135" s="400" t="s">
        <v>252</v>
      </c>
      <c r="G135" s="401"/>
      <c r="H135" s="401"/>
      <c r="I135" s="401"/>
    </row>
    <row r="136" spans="1:9" x14ac:dyDescent="0.25">
      <c r="A136" s="45"/>
      <c r="B136" s="46"/>
      <c r="C136" s="46"/>
      <c r="D136" s="45"/>
      <c r="E136" s="45"/>
      <c r="F136" s="400"/>
      <c r="G136" s="401"/>
      <c r="H136" s="401"/>
      <c r="I136" s="401"/>
    </row>
    <row r="137" spans="1:9" x14ac:dyDescent="0.25">
      <c r="A137" s="45"/>
      <c r="B137" s="46"/>
      <c r="C137" s="46"/>
      <c r="D137" s="45"/>
      <c r="E137" s="45"/>
      <c r="F137" s="401"/>
      <c r="G137" s="401"/>
      <c r="H137" s="401"/>
      <c r="I137" s="401"/>
    </row>
    <row r="138" spans="1:9" x14ac:dyDescent="0.25">
      <c r="A138" s="45"/>
      <c r="B138" s="46"/>
      <c r="C138" s="46"/>
      <c r="D138" s="45"/>
      <c r="E138" s="45"/>
      <c r="F138" s="401"/>
      <c r="G138" s="401"/>
      <c r="H138" s="401"/>
      <c r="I138" s="401"/>
    </row>
    <row r="140" spans="1:9" x14ac:dyDescent="0.25">
      <c r="F140" s="150" t="s">
        <v>340</v>
      </c>
      <c r="G140" s="150"/>
      <c r="H140" s="150" t="s">
        <v>342</v>
      </c>
      <c r="I140" s="150"/>
    </row>
    <row r="142" spans="1:9" x14ac:dyDescent="0.25">
      <c r="F142" s="150" t="s">
        <v>337</v>
      </c>
      <c r="G142" s="150"/>
      <c r="H142" s="150" t="s">
        <v>338</v>
      </c>
      <c r="I142" s="150" t="s">
        <v>339</v>
      </c>
    </row>
    <row r="143" spans="1:9" x14ac:dyDescent="0.25">
      <c r="I143" s="150"/>
    </row>
    <row r="144" spans="1:9" x14ac:dyDescent="0.25">
      <c r="I144" s="150"/>
    </row>
    <row r="145" spans="6:6" x14ac:dyDescent="0.25">
      <c r="F145" s="123" t="s">
        <v>341</v>
      </c>
    </row>
  </sheetData>
  <mergeCells count="14">
    <mergeCell ref="F135:I138"/>
    <mergeCell ref="H19:I19"/>
    <mergeCell ref="H103:I103"/>
    <mergeCell ref="H21:I21"/>
    <mergeCell ref="F27:F28"/>
    <mergeCell ref="H74:I74"/>
    <mergeCell ref="H47:I47"/>
    <mergeCell ref="H48:I48"/>
    <mergeCell ref="H46:I46"/>
    <mergeCell ref="H102:I102"/>
    <mergeCell ref="I27:I31"/>
    <mergeCell ref="D23:G23"/>
    <mergeCell ref="H73:I73"/>
    <mergeCell ref="H75:I7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13"/>
  <sheetViews>
    <sheetView tabSelected="1" topLeftCell="A481" zoomScale="70" zoomScaleNormal="70" workbookViewId="0">
      <selection activeCell="C511" sqref="C511:O571"/>
    </sheetView>
  </sheetViews>
  <sheetFormatPr defaultColWidth="9.140625" defaultRowHeight="12" x14ac:dyDescent="0.2"/>
  <cols>
    <col min="1" max="2" width="1.7109375" style="1" customWidth="1"/>
    <col min="3" max="3" width="30.7109375" style="1" customWidth="1"/>
    <col min="4" max="4" width="1.7109375" style="1" customWidth="1"/>
    <col min="5" max="5" width="19.85546875" style="1" customWidth="1"/>
    <col min="6" max="6" width="17.5703125" style="1" customWidth="1"/>
    <col min="7" max="7" width="17" style="1" customWidth="1"/>
    <col min="8" max="8" width="18.28515625" style="1" customWidth="1"/>
    <col min="9" max="9" width="18" style="1" customWidth="1"/>
    <col min="10" max="10" width="16.42578125" style="1" customWidth="1"/>
    <col min="11" max="11" width="17" style="1" customWidth="1"/>
    <col min="12" max="12" width="17.5703125" style="1" customWidth="1"/>
    <col min="13" max="13" width="17" style="1" customWidth="1"/>
    <col min="14" max="14" width="16.5703125" style="1" customWidth="1"/>
    <col min="15" max="15" width="13.28515625" style="1" customWidth="1"/>
    <col min="16" max="16" width="12.7109375" style="1" customWidth="1"/>
    <col min="17" max="16384" width="9.140625" style="1"/>
  </cols>
  <sheetData>
    <row r="1" spans="1:22" ht="15.75" x14ac:dyDescent="0.2">
      <c r="A1" s="460" t="s">
        <v>591</v>
      </c>
      <c r="B1" s="461"/>
      <c r="C1" s="461"/>
      <c r="D1" s="461"/>
      <c r="E1" s="461"/>
      <c r="F1" s="461"/>
      <c r="G1" s="461"/>
      <c r="H1" s="461"/>
      <c r="I1" s="461"/>
      <c r="J1" s="461"/>
      <c r="K1" s="461"/>
      <c r="L1" s="461"/>
      <c r="M1" s="461"/>
      <c r="N1" s="461"/>
      <c r="O1" s="319"/>
      <c r="P1" s="319"/>
      <c r="Q1" s="319"/>
      <c r="R1" s="319"/>
      <c r="S1" s="319"/>
      <c r="T1" s="319"/>
      <c r="U1" s="319"/>
      <c r="V1" s="319"/>
    </row>
    <row r="2" spans="1:22" ht="15.75" x14ac:dyDescent="0.2">
      <c r="A2" s="461"/>
      <c r="B2" s="461"/>
      <c r="C2" s="461"/>
      <c r="D2" s="461"/>
      <c r="E2" s="461"/>
      <c r="F2" s="461"/>
      <c r="G2" s="461"/>
      <c r="H2" s="461"/>
      <c r="I2" s="461"/>
      <c r="J2" s="461"/>
      <c r="K2" s="461"/>
      <c r="L2" s="461"/>
      <c r="M2" s="461"/>
      <c r="N2" s="461"/>
      <c r="O2" s="319"/>
      <c r="P2" s="319"/>
      <c r="Q2" s="319"/>
      <c r="R2" s="319"/>
      <c r="S2" s="319"/>
      <c r="T2" s="319"/>
      <c r="U2" s="319"/>
      <c r="V2" s="319"/>
    </row>
    <row r="3" spans="1:22" ht="15" x14ac:dyDescent="0.25">
      <c r="A3"/>
      <c r="B3"/>
      <c r="C3"/>
      <c r="D3"/>
      <c r="E3"/>
      <c r="F3"/>
      <c r="G3"/>
      <c r="H3"/>
      <c r="I3"/>
      <c r="J3"/>
      <c r="K3"/>
      <c r="L3"/>
      <c r="M3"/>
      <c r="N3"/>
      <c r="O3"/>
      <c r="P3"/>
      <c r="Q3"/>
      <c r="R3"/>
      <c r="S3"/>
      <c r="T3"/>
      <c r="U3"/>
      <c r="V3"/>
    </row>
    <row r="4" spans="1:22" ht="15" x14ac:dyDescent="0.25">
      <c r="A4" s="320"/>
      <c r="B4" s="320"/>
      <c r="C4" s="320"/>
      <c r="D4" s="320"/>
      <c r="E4" s="320"/>
      <c r="F4" s="320"/>
      <c r="G4" s="320"/>
      <c r="H4" s="320"/>
      <c r="I4" s="320"/>
      <c r="J4" s="320"/>
      <c r="K4" s="320"/>
      <c r="L4" s="320"/>
      <c r="M4" s="320"/>
      <c r="N4" s="320"/>
      <c r="O4" s="320"/>
      <c r="P4" s="320"/>
      <c r="Q4" s="320"/>
      <c r="R4" s="320"/>
      <c r="S4" s="320"/>
      <c r="T4" s="320"/>
      <c r="U4" s="320"/>
      <c r="V4" s="320"/>
    </row>
    <row r="5" spans="1:22" x14ac:dyDescent="0.2">
      <c r="C5" s="116"/>
      <c r="D5" s="74"/>
      <c r="E5" s="314"/>
      <c r="F5" s="74"/>
      <c r="G5" s="74"/>
      <c r="H5" s="74"/>
      <c r="I5" s="74"/>
      <c r="J5" s="74"/>
      <c r="K5" s="74"/>
      <c r="L5" s="74"/>
      <c r="M5" s="74"/>
    </row>
    <row r="6" spans="1:22" x14ac:dyDescent="0.2">
      <c r="C6" s="116"/>
      <c r="D6" s="74"/>
      <c r="E6" s="314"/>
      <c r="F6" s="74"/>
      <c r="G6" s="74"/>
      <c r="H6" s="74"/>
      <c r="I6" s="74"/>
      <c r="J6" s="74"/>
      <c r="K6" s="74"/>
      <c r="L6" s="74"/>
      <c r="M6" s="74"/>
    </row>
    <row r="7" spans="1:22" x14ac:dyDescent="0.2">
      <c r="C7" s="116"/>
      <c r="D7" s="74"/>
      <c r="E7" s="314"/>
      <c r="F7" s="74"/>
      <c r="G7" s="74"/>
      <c r="H7" s="74"/>
      <c r="I7" s="74"/>
      <c r="J7" s="74"/>
      <c r="K7" s="74"/>
      <c r="L7" s="74"/>
      <c r="M7" s="74"/>
    </row>
    <row r="8" spans="1:22" x14ac:dyDescent="0.2">
      <c r="C8" s="116"/>
      <c r="D8" s="74"/>
      <c r="E8" s="213"/>
      <c r="F8" s="74"/>
      <c r="G8" s="74"/>
      <c r="H8" s="74"/>
      <c r="I8" s="74"/>
      <c r="J8" s="74"/>
      <c r="K8" s="74"/>
      <c r="L8" s="74"/>
      <c r="M8" s="74"/>
    </row>
    <row r="9" spans="1:22" ht="15" customHeight="1" x14ac:dyDescent="0.25">
      <c r="A9" s="153"/>
      <c r="B9" s="193"/>
      <c r="C9" s="408" t="s">
        <v>593</v>
      </c>
      <c r="D9" s="426"/>
      <c r="E9" s="426"/>
      <c r="F9" s="426"/>
      <c r="G9" s="426"/>
      <c r="H9" s="426"/>
      <c r="I9" s="426"/>
      <c r="J9" s="165"/>
      <c r="K9" s="165"/>
      <c r="L9" s="74"/>
      <c r="M9" s="74"/>
    </row>
    <row r="10" spans="1:22" ht="15" x14ac:dyDescent="0.25">
      <c r="A10" s="193"/>
      <c r="B10" s="193"/>
      <c r="C10" s="426"/>
      <c r="D10" s="426"/>
      <c r="E10" s="426"/>
      <c r="F10" s="426"/>
      <c r="G10" s="426"/>
      <c r="H10" s="426"/>
      <c r="I10" s="426"/>
      <c r="J10" s="165"/>
      <c r="K10" s="165"/>
      <c r="L10" s="74"/>
      <c r="M10" s="74"/>
    </row>
    <row r="11" spans="1:22" ht="5.0999999999999996" customHeight="1" x14ac:dyDescent="0.25">
      <c r="A11" s="155"/>
      <c r="B11" s="155"/>
      <c r="C11" s="155"/>
      <c r="D11" s="155"/>
      <c r="E11" s="155"/>
      <c r="F11" s="155"/>
      <c r="G11" s="155"/>
      <c r="H11" s="155"/>
      <c r="I11" s="155"/>
      <c r="J11" s="74"/>
      <c r="K11" s="74"/>
      <c r="L11" s="74"/>
      <c r="M11" s="74"/>
    </row>
    <row r="12" spans="1:22" ht="15" x14ac:dyDescent="0.25">
      <c r="A12" s="156"/>
      <c r="B12" s="156"/>
      <c r="C12" s="156"/>
      <c r="D12" s="156"/>
      <c r="E12" s="156"/>
      <c r="F12" s="156"/>
      <c r="G12" s="156"/>
      <c r="H12" s="156"/>
      <c r="I12" s="156"/>
      <c r="J12" s="164"/>
      <c r="K12" s="164"/>
      <c r="L12" s="74"/>
      <c r="M12" s="74"/>
    </row>
    <row r="13" spans="1:22" x14ac:dyDescent="0.2">
      <c r="C13" s="116"/>
      <c r="D13" s="74"/>
      <c r="E13" s="213"/>
      <c r="F13" s="74"/>
      <c r="G13" s="74"/>
      <c r="H13" s="74"/>
      <c r="I13" s="74"/>
      <c r="J13" s="74"/>
      <c r="K13" s="74"/>
      <c r="L13" s="74"/>
      <c r="M13" s="74"/>
    </row>
    <row r="14" spans="1:22" ht="15" x14ac:dyDescent="0.25">
      <c r="C14" s="74"/>
      <c r="D14" s="74"/>
      <c r="E14" s="321"/>
      <c r="F14" s="74"/>
      <c r="G14" s="74"/>
      <c r="H14" s="74"/>
      <c r="I14" s="74"/>
      <c r="J14" s="74"/>
      <c r="K14" s="74"/>
      <c r="L14"/>
      <c r="M14"/>
    </row>
    <row r="15" spans="1:22" x14ac:dyDescent="0.2">
      <c r="C15" s="74"/>
      <c r="D15" s="74"/>
      <c r="E15" s="186"/>
      <c r="F15" s="74"/>
      <c r="G15" s="74"/>
      <c r="H15" s="74"/>
      <c r="I15" s="74"/>
      <c r="J15" s="74"/>
      <c r="K15" s="74"/>
      <c r="L15" s="74"/>
      <c r="M15" s="74"/>
    </row>
    <row r="16" spans="1:22" x14ac:dyDescent="0.2">
      <c r="C16" s="74" t="s">
        <v>371</v>
      </c>
      <c r="D16" s="74"/>
      <c r="E16" s="186"/>
      <c r="F16" s="74"/>
      <c r="G16" s="74"/>
      <c r="H16" s="74"/>
      <c r="I16" s="74"/>
      <c r="J16" s="74"/>
      <c r="K16" s="74"/>
      <c r="L16" s="74"/>
      <c r="M16" s="74"/>
    </row>
    <row r="17" spans="1:13" ht="15" x14ac:dyDescent="0.2">
      <c r="C17" s="429" t="s">
        <v>372</v>
      </c>
      <c r="D17" s="420"/>
      <c r="E17" s="420"/>
      <c r="F17" s="420"/>
      <c r="G17" s="420"/>
      <c r="H17" s="420"/>
      <c r="I17" s="420"/>
      <c r="J17" s="420"/>
      <c r="K17" s="420"/>
      <c r="L17" s="216"/>
      <c r="M17" s="216"/>
    </row>
    <row r="18" spans="1:13" ht="15" x14ac:dyDescent="0.2">
      <c r="C18" s="420"/>
      <c r="D18" s="420"/>
      <c r="E18" s="420"/>
      <c r="F18" s="420"/>
      <c r="G18" s="420"/>
      <c r="H18" s="420"/>
      <c r="I18" s="420"/>
      <c r="J18" s="420"/>
      <c r="K18" s="420"/>
      <c r="L18" s="216"/>
      <c r="M18" s="216"/>
    </row>
    <row r="19" spans="1:13" x14ac:dyDescent="0.2">
      <c r="C19" s="74" t="s">
        <v>373</v>
      </c>
      <c r="D19" s="74"/>
      <c r="E19" s="186"/>
      <c r="F19" s="74"/>
      <c r="G19" s="74"/>
      <c r="H19" s="74"/>
      <c r="I19" s="74"/>
      <c r="J19" s="74"/>
      <c r="K19" s="74"/>
      <c r="L19" s="74"/>
      <c r="M19" s="74"/>
    </row>
    <row r="20" spans="1:13" x14ac:dyDescent="0.2">
      <c r="C20" s="429" t="s">
        <v>374</v>
      </c>
      <c r="D20" s="419"/>
      <c r="E20" s="419"/>
      <c r="F20" s="419"/>
      <c r="G20" s="419"/>
      <c r="H20" s="419"/>
      <c r="I20" s="419"/>
      <c r="J20" s="419"/>
      <c r="K20" s="419"/>
      <c r="L20" s="74"/>
      <c r="M20" s="74"/>
    </row>
    <row r="21" spans="1:13" x14ac:dyDescent="0.2">
      <c r="C21" s="419"/>
      <c r="D21" s="419"/>
      <c r="E21" s="419"/>
      <c r="F21" s="419"/>
      <c r="G21" s="419"/>
      <c r="H21" s="419"/>
      <c r="I21" s="419"/>
      <c r="J21" s="419"/>
      <c r="K21" s="419"/>
    </row>
    <row r="28" spans="1:13" ht="15" x14ac:dyDescent="0.25">
      <c r="A28" s="153"/>
      <c r="B28" s="193"/>
      <c r="C28" s="408" t="s">
        <v>592</v>
      </c>
      <c r="D28" s="426"/>
      <c r="E28" s="426"/>
      <c r="F28" s="426"/>
      <c r="G28" s="426"/>
      <c r="H28" s="426"/>
      <c r="I28" s="426"/>
      <c r="J28" s="153"/>
    </row>
    <row r="29" spans="1:13" ht="15" x14ac:dyDescent="0.25">
      <c r="A29" s="193"/>
      <c r="B29" s="193"/>
      <c r="C29" s="426"/>
      <c r="D29" s="426"/>
      <c r="E29" s="426"/>
      <c r="F29" s="426"/>
      <c r="G29" s="426"/>
      <c r="H29" s="426"/>
      <c r="I29" s="426"/>
      <c r="J29" s="153"/>
    </row>
    <row r="30" spans="1:13" ht="5.0999999999999996" customHeight="1" x14ac:dyDescent="0.25">
      <c r="A30" s="155"/>
      <c r="B30" s="155"/>
      <c r="C30" s="155"/>
      <c r="D30" s="155"/>
      <c r="E30" s="155"/>
      <c r="F30" s="155"/>
      <c r="G30" s="155"/>
      <c r="H30" s="155"/>
      <c r="I30" s="155"/>
    </row>
    <row r="31" spans="1:13" ht="15" x14ac:dyDescent="0.25">
      <c r="A31" s="156"/>
      <c r="B31" s="156"/>
      <c r="C31" s="156"/>
      <c r="D31" s="156"/>
      <c r="E31" s="156"/>
      <c r="F31" s="156"/>
      <c r="G31" s="156"/>
      <c r="H31" s="156"/>
      <c r="I31" s="156"/>
      <c r="J31" s="152"/>
    </row>
    <row r="32" spans="1:13" x14ac:dyDescent="0.2">
      <c r="F32" s="6"/>
      <c r="G32" s="9"/>
      <c r="H32" s="6"/>
      <c r="I32" s="6"/>
      <c r="J32" s="27"/>
    </row>
    <row r="33" spans="1:10" x14ac:dyDescent="0.2">
      <c r="A33" s="154"/>
      <c r="B33" s="154"/>
      <c r="C33" s="168" t="s">
        <v>382</v>
      </c>
      <c r="D33" s="168"/>
      <c r="E33" s="191"/>
      <c r="F33" s="191"/>
      <c r="G33" s="194"/>
      <c r="H33" s="191"/>
      <c r="I33" s="191"/>
      <c r="J33" s="195"/>
    </row>
    <row r="34" spans="1:10" x14ac:dyDescent="0.2">
      <c r="A34" s="17" t="s">
        <v>139</v>
      </c>
      <c r="B34" s="17"/>
      <c r="C34" s="8"/>
      <c r="D34" s="8"/>
      <c r="G34" s="54"/>
      <c r="H34" s="25"/>
      <c r="I34" s="25"/>
      <c r="J34" s="15"/>
    </row>
    <row r="35" spans="1:10" x14ac:dyDescent="0.2">
      <c r="B35" s="2"/>
      <c r="C35" s="196">
        <v>500000</v>
      </c>
      <c r="D35" s="2"/>
      <c r="E35" s="4"/>
      <c r="F35" s="411" t="s">
        <v>142</v>
      </c>
      <c r="G35" s="430"/>
      <c r="H35" s="4"/>
      <c r="I35" s="411" t="s">
        <v>19</v>
      </c>
      <c r="J35" s="430"/>
    </row>
    <row r="36" spans="1:10" x14ac:dyDescent="0.2">
      <c r="A36" s="2"/>
      <c r="B36" s="2"/>
      <c r="C36" s="64"/>
      <c r="D36" s="2"/>
      <c r="E36" s="4"/>
      <c r="F36" s="57"/>
      <c r="G36" s="57"/>
      <c r="H36" s="4"/>
      <c r="I36" s="57"/>
      <c r="J36" s="57"/>
    </row>
    <row r="37" spans="1:10" ht="4.9000000000000004" customHeight="1" x14ac:dyDescent="0.2">
      <c r="A37" s="230"/>
      <c r="B37" s="230"/>
      <c r="C37" s="241"/>
      <c r="D37" s="230"/>
      <c r="E37" s="242"/>
      <c r="F37" s="235"/>
      <c r="G37" s="235"/>
      <c r="H37" s="242"/>
      <c r="I37" s="235"/>
      <c r="J37" s="235"/>
    </row>
    <row r="38" spans="1:10" ht="15" x14ac:dyDescent="0.25">
      <c r="A38" s="239" t="s">
        <v>392</v>
      </c>
      <c r="B38" s="33"/>
      <c r="C38" s="12"/>
      <c r="D38" s="12"/>
      <c r="E38" s="44"/>
      <c r="F38" s="44"/>
      <c r="G38" s="43"/>
      <c r="H38" s="44"/>
      <c r="I38" s="44"/>
      <c r="J38" s="28"/>
    </row>
    <row r="39" spans="1:10" ht="15" x14ac:dyDescent="0.25">
      <c r="B39" s="2" t="s">
        <v>125</v>
      </c>
      <c r="C39"/>
      <c r="D39"/>
      <c r="E39" s="4"/>
      <c r="F39" s="29"/>
      <c r="G39" s="30"/>
      <c r="H39" s="4"/>
      <c r="I39" s="19">
        <v>0.04</v>
      </c>
      <c r="J39" s="41">
        <f>$C$35*I39</f>
        <v>20000</v>
      </c>
    </row>
    <row r="40" spans="1:10" ht="15" x14ac:dyDescent="0.25">
      <c r="B40" s="2" t="s">
        <v>126</v>
      </c>
      <c r="C40"/>
      <c r="D40"/>
      <c r="E40" s="60">
        <v>0.25</v>
      </c>
      <c r="F40" s="19">
        <v>1.4999999999999999E-2</v>
      </c>
      <c r="G40" s="41">
        <f>$C$35*F40*E40</f>
        <v>1875</v>
      </c>
      <c r="H40" s="4"/>
      <c r="I40" s="19">
        <v>2.5000000000000001E-2</v>
      </c>
      <c r="J40" s="41">
        <f>$C$35*I40</f>
        <v>12500</v>
      </c>
    </row>
    <row r="41" spans="1:10" x14ac:dyDescent="0.2">
      <c r="A41" s="2"/>
      <c r="B41" s="2"/>
      <c r="C41" s="197" t="s">
        <v>128</v>
      </c>
      <c r="D41" s="197"/>
      <c r="E41" s="198"/>
      <c r="F41" s="198"/>
      <c r="G41" s="184">
        <f>SUM(G40)</f>
        <v>1875</v>
      </c>
      <c r="H41" s="198"/>
      <c r="I41" s="198"/>
      <c r="J41" s="199">
        <f>SUM(J39:J40)</f>
        <v>32500</v>
      </c>
    </row>
    <row r="42" spans="1:10" x14ac:dyDescent="0.2">
      <c r="A42" s="2"/>
      <c r="B42" s="2" t="s">
        <v>255</v>
      </c>
      <c r="C42" s="2"/>
      <c r="D42" s="2"/>
      <c r="E42" s="4"/>
      <c r="F42" s="19"/>
      <c r="G42" s="41"/>
      <c r="H42" s="4"/>
      <c r="I42" s="19"/>
      <c r="J42" s="41">
        <f>$C$35*I42</f>
        <v>0</v>
      </c>
    </row>
    <row r="43" spans="1:10" ht="15" x14ac:dyDescent="0.25">
      <c r="A43" s="2"/>
      <c r="B43" s="413" t="s">
        <v>256</v>
      </c>
      <c r="C43" s="415"/>
      <c r="D43" s="217"/>
      <c r="E43" s="4"/>
      <c r="F43" s="19">
        <f>G43/C35</f>
        <v>1.4999999999999999E-2</v>
      </c>
      <c r="G43" s="41">
        <v>7500</v>
      </c>
      <c r="H43" s="4"/>
      <c r="I43" s="19">
        <v>7.4999999999999997E-3</v>
      </c>
      <c r="J43" s="41">
        <f>$C$35*I43</f>
        <v>3750</v>
      </c>
    </row>
    <row r="44" spans="1:10" x14ac:dyDescent="0.2">
      <c r="A44" s="2"/>
      <c r="B44" s="2" t="s">
        <v>258</v>
      </c>
      <c r="C44" s="2"/>
      <c r="D44" s="2"/>
      <c r="E44" s="60">
        <v>0.9</v>
      </c>
      <c r="F44" s="19">
        <v>1.2500000000000001E-2</v>
      </c>
      <c r="G44" s="41">
        <f>$C$35*F44*E44</f>
        <v>5625</v>
      </c>
      <c r="H44" s="4"/>
      <c r="I44" s="19">
        <v>0.03</v>
      </c>
      <c r="J44" s="41">
        <f>$C$35*I44</f>
        <v>15000</v>
      </c>
    </row>
    <row r="45" spans="1:10" x14ac:dyDescent="0.2">
      <c r="A45" s="2"/>
      <c r="B45" s="2"/>
      <c r="C45" s="35" t="s">
        <v>5</v>
      </c>
      <c r="D45" s="35"/>
      <c r="E45" s="55"/>
      <c r="F45" s="55"/>
      <c r="G45" s="56">
        <f>SUM(G43:G44)</f>
        <v>13125</v>
      </c>
      <c r="H45" s="55"/>
      <c r="I45" s="55"/>
      <c r="J45" s="56">
        <f>SUM(J43:J44)</f>
        <v>18750</v>
      </c>
    </row>
    <row r="46" spans="1:10" x14ac:dyDescent="0.2">
      <c r="A46" s="231" t="s">
        <v>129</v>
      </c>
      <c r="B46" s="231"/>
      <c r="C46" s="231"/>
      <c r="D46" s="231"/>
      <c r="E46" s="232"/>
      <c r="F46" s="232"/>
      <c r="G46" s="233">
        <f>G41-G45</f>
        <v>-11250</v>
      </c>
      <c r="H46" s="232"/>
      <c r="I46" s="232"/>
      <c r="J46" s="233">
        <f>J41-J45</f>
        <v>13750</v>
      </c>
    </row>
    <row r="47" spans="1:10" ht="4.9000000000000004" customHeight="1" x14ac:dyDescent="0.2">
      <c r="A47" s="234"/>
      <c r="B47" s="234"/>
      <c r="C47" s="234"/>
      <c r="D47" s="234"/>
      <c r="E47" s="235"/>
      <c r="F47" s="235"/>
      <c r="G47" s="240"/>
      <c r="H47" s="235"/>
      <c r="I47" s="235"/>
      <c r="J47" s="240"/>
    </row>
    <row r="48" spans="1:10" ht="15" x14ac:dyDescent="0.25">
      <c r="A48" s="239" t="s">
        <v>130</v>
      </c>
      <c r="B48" s="33"/>
      <c r="C48" s="12"/>
      <c r="D48" s="12"/>
      <c r="E48" s="44"/>
      <c r="F48" s="44"/>
      <c r="G48" s="43"/>
      <c r="H48" s="44"/>
      <c r="I48" s="44"/>
      <c r="J48" s="28"/>
    </row>
    <row r="49" spans="1:18" ht="15" x14ac:dyDescent="0.25">
      <c r="B49" s="2" t="s">
        <v>125</v>
      </c>
      <c r="C49"/>
      <c r="D49"/>
      <c r="E49" s="4"/>
      <c r="F49" s="19">
        <v>4.2500000000000003E-2</v>
      </c>
      <c r="G49" s="41">
        <f>'M2'!$C$83*F49</f>
        <v>21250</v>
      </c>
      <c r="H49" s="4"/>
      <c r="I49" s="19">
        <v>0</v>
      </c>
      <c r="J49" s="41">
        <f>$C$35*I49</f>
        <v>0</v>
      </c>
    </row>
    <row r="50" spans="1:18" ht="15" x14ac:dyDescent="0.25">
      <c r="B50" s="2" t="s">
        <v>126</v>
      </c>
      <c r="C50"/>
      <c r="D50"/>
      <c r="E50" s="4"/>
      <c r="F50" s="11">
        <v>0.01</v>
      </c>
      <c r="G50" s="41">
        <f>'M2'!$C$83*F50</f>
        <v>5000</v>
      </c>
      <c r="H50" s="4"/>
      <c r="I50" s="19" t="s">
        <v>152</v>
      </c>
      <c r="J50" s="41">
        <v>2500</v>
      </c>
    </row>
    <row r="51" spans="1:18" x14ac:dyDescent="0.2">
      <c r="B51" s="2"/>
      <c r="C51" s="197" t="s">
        <v>128</v>
      </c>
      <c r="D51" s="197"/>
      <c r="E51" s="198"/>
      <c r="F51" s="198"/>
      <c r="G51" s="184">
        <f>SUM(G49:G50)</f>
        <v>26250</v>
      </c>
      <c r="H51" s="198"/>
      <c r="I51" s="198"/>
      <c r="J51" s="184">
        <f>SUM(J49:J50)</f>
        <v>2500</v>
      </c>
    </row>
    <row r="52" spans="1:18" x14ac:dyDescent="0.2">
      <c r="B52" s="2" t="s">
        <v>255</v>
      </c>
      <c r="C52" s="2"/>
      <c r="D52" s="2"/>
      <c r="E52" s="4"/>
      <c r="F52" s="19">
        <f>F241</f>
        <v>2.8E-3</v>
      </c>
      <c r="G52" s="41">
        <f>F52*'M2'!$C$83</f>
        <v>1400</v>
      </c>
      <c r="H52" s="4"/>
      <c r="I52" s="19">
        <v>0</v>
      </c>
      <c r="J52" s="41">
        <f>$C$35*I52</f>
        <v>0</v>
      </c>
    </row>
    <row r="53" spans="1:18" ht="15" x14ac:dyDescent="0.25">
      <c r="B53" s="413" t="s">
        <v>256</v>
      </c>
      <c r="C53" s="414"/>
      <c r="D53" s="218"/>
      <c r="E53" s="4"/>
      <c r="F53" s="19">
        <v>0.03</v>
      </c>
      <c r="G53" s="41">
        <f>F53*'M2'!$C$83</f>
        <v>15000</v>
      </c>
      <c r="H53" s="4"/>
      <c r="I53" s="19">
        <v>5.0000000000000001E-4</v>
      </c>
      <c r="J53" s="41">
        <f>$C$35*I53</f>
        <v>250</v>
      </c>
      <c r="L53"/>
      <c r="M53"/>
      <c r="N53"/>
      <c r="O53"/>
      <c r="P53"/>
      <c r="Q53"/>
      <c r="R53"/>
    </row>
    <row r="54" spans="1:18" ht="15" x14ac:dyDescent="0.25">
      <c r="B54" s="2" t="s">
        <v>259</v>
      </c>
      <c r="C54" s="2"/>
      <c r="D54" s="2"/>
      <c r="E54" s="60">
        <v>0.1</v>
      </c>
      <c r="F54" s="19">
        <f>F44</f>
        <v>1.2500000000000001E-2</v>
      </c>
      <c r="G54" s="41">
        <f>$C$35*F54*E54</f>
        <v>625</v>
      </c>
      <c r="H54" s="4"/>
      <c r="I54" s="19">
        <v>0</v>
      </c>
      <c r="J54" s="41">
        <f>$C$35*I54</f>
        <v>0</v>
      </c>
      <c r="L54"/>
      <c r="M54"/>
      <c r="N54"/>
      <c r="O54"/>
      <c r="P54"/>
      <c r="Q54"/>
      <c r="R54"/>
    </row>
    <row r="55" spans="1:18" ht="15" x14ac:dyDescent="0.25">
      <c r="B55" s="2" t="s">
        <v>153</v>
      </c>
      <c r="C55" s="2"/>
      <c r="D55" s="2"/>
      <c r="E55" s="60"/>
      <c r="F55" s="19"/>
      <c r="G55" s="41"/>
      <c r="H55" s="4"/>
      <c r="I55" s="19">
        <v>0</v>
      </c>
      <c r="J55" s="41">
        <f>$C$35*I55</f>
        <v>0</v>
      </c>
      <c r="L55"/>
      <c r="M55"/>
      <c r="N55"/>
      <c r="O55"/>
      <c r="P55"/>
      <c r="Q55"/>
      <c r="R55"/>
    </row>
    <row r="56" spans="1:18" ht="15" x14ac:dyDescent="0.25">
      <c r="B56" s="2"/>
      <c r="C56" s="197" t="s">
        <v>5</v>
      </c>
      <c r="D56" s="197"/>
      <c r="E56" s="198"/>
      <c r="F56" s="198"/>
      <c r="G56" s="184">
        <f>SUM(G52:G55)</f>
        <v>17025</v>
      </c>
      <c r="H56" s="198"/>
      <c r="I56" s="198"/>
      <c r="J56" s="199">
        <f>SUM(J52:J55)</f>
        <v>250</v>
      </c>
      <c r="L56"/>
      <c r="M56"/>
      <c r="N56"/>
      <c r="O56"/>
      <c r="P56"/>
      <c r="Q56"/>
      <c r="R56"/>
    </row>
    <row r="57" spans="1:18" ht="15" x14ac:dyDescent="0.25">
      <c r="A57" s="231" t="s">
        <v>131</v>
      </c>
      <c r="B57" s="231"/>
      <c r="C57" s="231"/>
      <c r="D57" s="231"/>
      <c r="E57" s="232"/>
      <c r="F57" s="232"/>
      <c r="G57" s="233">
        <f>G51-G56</f>
        <v>9225</v>
      </c>
      <c r="H57" s="232"/>
      <c r="I57" s="232"/>
      <c r="J57" s="233">
        <f>J51-J56</f>
        <v>2250</v>
      </c>
      <c r="L57"/>
      <c r="M57"/>
      <c r="N57"/>
      <c r="O57"/>
      <c r="P57"/>
      <c r="Q57"/>
      <c r="R57"/>
    </row>
    <row r="58" spans="1:18" ht="15" x14ac:dyDescent="0.25">
      <c r="B58" s="2" t="s">
        <v>154</v>
      </c>
      <c r="C58" s="8"/>
      <c r="D58" s="57"/>
      <c r="E58" s="57"/>
      <c r="F58" s="21">
        <f>G57/C35</f>
        <v>1.8450000000000001E-2</v>
      </c>
      <c r="G58" s="21"/>
      <c r="H58" s="21"/>
      <c r="I58" s="16" t="s">
        <v>155</v>
      </c>
      <c r="L58"/>
      <c r="M58"/>
      <c r="N58"/>
      <c r="O58"/>
      <c r="P58"/>
      <c r="Q58"/>
      <c r="R58"/>
    </row>
    <row r="59" spans="1:18" ht="15" x14ac:dyDescent="0.25">
      <c r="B59" s="2" t="s">
        <v>10</v>
      </c>
      <c r="C59" s="8"/>
      <c r="D59" s="57"/>
      <c r="E59" s="57"/>
      <c r="F59" s="21">
        <f>G57/(C35*F250)</f>
        <v>0.131832381672564</v>
      </c>
      <c r="G59" s="21"/>
      <c r="H59" s="21"/>
      <c r="I59" s="16" t="s">
        <v>155</v>
      </c>
      <c r="L59"/>
      <c r="M59"/>
      <c r="N59"/>
      <c r="O59"/>
      <c r="P59"/>
      <c r="Q59"/>
      <c r="R59"/>
    </row>
    <row r="60" spans="1:18" ht="4.9000000000000004" customHeight="1" x14ac:dyDescent="0.2">
      <c r="A60" s="230"/>
      <c r="B60" s="230"/>
      <c r="C60" s="234"/>
      <c r="D60" s="235"/>
      <c r="E60" s="235"/>
      <c r="F60" s="236"/>
      <c r="G60" s="237"/>
      <c r="H60" s="237"/>
      <c r="I60" s="238"/>
      <c r="J60" s="230"/>
    </row>
    <row r="61" spans="1:18" ht="15" x14ac:dyDescent="0.25">
      <c r="A61" s="239" t="s">
        <v>151</v>
      </c>
      <c r="B61" s="33"/>
      <c r="C61" s="12"/>
      <c r="D61" s="12"/>
      <c r="E61" s="44"/>
      <c r="F61" s="44"/>
      <c r="G61" s="44"/>
      <c r="H61" s="44"/>
      <c r="I61" s="44"/>
      <c r="J61" s="12"/>
    </row>
    <row r="62" spans="1:18" x14ac:dyDescent="0.2">
      <c r="B62" s="2" t="s">
        <v>135</v>
      </c>
      <c r="C62" s="2"/>
      <c r="D62" s="2"/>
      <c r="E62" s="4"/>
      <c r="F62" s="4"/>
      <c r="G62" s="41">
        <f>G49</f>
        <v>21250</v>
      </c>
      <c r="H62" s="4"/>
      <c r="I62" s="4"/>
      <c r="J62" s="41">
        <f>J49+J39</f>
        <v>20000</v>
      </c>
    </row>
    <row r="63" spans="1:18" ht="15" x14ac:dyDescent="0.25">
      <c r="B63" s="413" t="s">
        <v>136</v>
      </c>
      <c r="C63" s="414"/>
      <c r="D63" s="218"/>
      <c r="E63" s="4"/>
      <c r="F63" s="4"/>
      <c r="G63" s="41">
        <f>G50+G41</f>
        <v>6875</v>
      </c>
      <c r="H63" s="4"/>
      <c r="I63" s="4"/>
      <c r="J63" s="41">
        <f>J50+J40</f>
        <v>15000</v>
      </c>
    </row>
    <row r="64" spans="1:18" ht="15" x14ac:dyDescent="0.25">
      <c r="B64" s="188" t="s">
        <v>137</v>
      </c>
      <c r="C64" s="187"/>
      <c r="D64" s="218"/>
      <c r="E64" s="4"/>
      <c r="F64" s="4"/>
      <c r="G64" s="4"/>
      <c r="H64" s="4"/>
      <c r="I64" s="4"/>
      <c r="J64" s="2"/>
    </row>
    <row r="65" spans="1:10" x14ac:dyDescent="0.2">
      <c r="B65" s="2"/>
      <c r="C65" s="2" t="s">
        <v>5</v>
      </c>
      <c r="D65" s="2"/>
      <c r="E65" s="4"/>
      <c r="F65" s="4"/>
      <c r="G65" s="41">
        <f>SUM(G62:G64)</f>
        <v>28125</v>
      </c>
      <c r="H65" s="4"/>
      <c r="I65" s="4"/>
      <c r="J65" s="41">
        <f>SUM(J62:J64)</f>
        <v>35000</v>
      </c>
    </row>
    <row r="66" spans="1:10" x14ac:dyDescent="0.2">
      <c r="A66" s="231" t="s">
        <v>156</v>
      </c>
      <c r="B66" s="231"/>
      <c r="C66" s="231"/>
      <c r="D66" s="231"/>
      <c r="E66" s="232"/>
      <c r="F66" s="232"/>
      <c r="G66" s="233">
        <f>G65</f>
        <v>28125</v>
      </c>
      <c r="H66" s="232"/>
      <c r="I66" s="232"/>
      <c r="J66" s="233">
        <f>J65</f>
        <v>35000</v>
      </c>
    </row>
    <row r="67" spans="1:10" ht="4.9000000000000004" customHeight="1" x14ac:dyDescent="0.2">
      <c r="A67" s="230"/>
      <c r="B67" s="230"/>
      <c r="C67" s="230"/>
      <c r="D67" s="242"/>
      <c r="E67" s="242"/>
      <c r="F67" s="243"/>
      <c r="G67" s="242"/>
      <c r="H67" s="242"/>
      <c r="I67" s="244"/>
      <c r="J67" s="230"/>
    </row>
    <row r="68" spans="1:10" x14ac:dyDescent="0.2">
      <c r="B68" s="2"/>
      <c r="C68" s="2"/>
      <c r="D68" s="2"/>
      <c r="E68" s="4"/>
      <c r="F68" s="416" t="s">
        <v>143</v>
      </c>
      <c r="G68" s="417"/>
      <c r="H68" s="4"/>
      <c r="I68" s="4"/>
      <c r="J68" s="27"/>
    </row>
    <row r="69" spans="1:10" ht="15" x14ac:dyDescent="0.25">
      <c r="B69" s="2" t="s">
        <v>132</v>
      </c>
      <c r="C69"/>
      <c r="D69"/>
      <c r="E69" s="4"/>
      <c r="F69" s="60">
        <v>0.16</v>
      </c>
      <c r="G69" s="41">
        <f>$C$35*F69</f>
        <v>80000</v>
      </c>
      <c r="H69" s="4"/>
      <c r="I69" s="4"/>
      <c r="J69" s="27"/>
    </row>
    <row r="70" spans="1:10" ht="15" x14ac:dyDescent="0.25">
      <c r="B70" s="2" t="s">
        <v>133</v>
      </c>
      <c r="C70"/>
      <c r="D70"/>
      <c r="E70" s="4"/>
      <c r="F70" s="41">
        <v>75</v>
      </c>
      <c r="G70" s="41">
        <f>F70</f>
        <v>75</v>
      </c>
      <c r="H70" s="4"/>
      <c r="I70" s="4"/>
      <c r="J70" s="27"/>
    </row>
    <row r="71" spans="1:10" x14ac:dyDescent="0.2">
      <c r="A71" s="245" t="s">
        <v>393</v>
      </c>
      <c r="B71" s="245"/>
      <c r="C71" s="245"/>
      <c r="D71" s="245"/>
      <c r="E71" s="246"/>
      <c r="F71" s="246"/>
      <c r="G71" s="247">
        <f>SUM(G69:G70)</f>
        <v>80075</v>
      </c>
      <c r="H71" s="246"/>
      <c r="I71" s="246"/>
      <c r="J71" s="248"/>
    </row>
    <row r="81" spans="1:10" x14ac:dyDescent="0.2">
      <c r="A81" s="169"/>
      <c r="B81" s="169"/>
      <c r="C81" s="168" t="s">
        <v>383</v>
      </c>
      <c r="D81" s="170"/>
      <c r="E81" s="170"/>
      <c r="F81" s="195"/>
      <c r="G81" s="170"/>
      <c r="H81" s="170"/>
      <c r="I81" s="195"/>
      <c r="J81" s="220"/>
    </row>
    <row r="82" spans="1:10" x14ac:dyDescent="0.2">
      <c r="A82" s="17" t="s">
        <v>139</v>
      </c>
      <c r="B82" s="2"/>
      <c r="C82" s="2"/>
      <c r="D82" s="2"/>
      <c r="E82" s="4"/>
      <c r="F82" s="4"/>
      <c r="G82" s="41"/>
      <c r="H82" s="4"/>
      <c r="I82" s="4"/>
      <c r="J82" s="27"/>
    </row>
    <row r="83" spans="1:10" ht="15" x14ac:dyDescent="0.25">
      <c r="B83" s="2"/>
      <c r="C83" s="196">
        <v>500000</v>
      </c>
      <c r="D83" s="2"/>
      <c r="E83" s="4"/>
      <c r="F83" s="411" t="s">
        <v>149</v>
      </c>
      <c r="G83" s="431"/>
      <c r="H83" s="4"/>
      <c r="I83" s="411" t="s">
        <v>107</v>
      </c>
      <c r="J83" s="412"/>
    </row>
    <row r="84" spans="1:10" ht="15" x14ac:dyDescent="0.25">
      <c r="B84" s="2"/>
      <c r="C84" s="2"/>
      <c r="D84" s="2"/>
      <c r="E84" s="4"/>
      <c r="F84" s="57"/>
      <c r="G84" s="61"/>
      <c r="H84" s="4"/>
      <c r="I84" s="57"/>
      <c r="J84" s="34"/>
    </row>
    <row r="85" spans="1:10" ht="4.9000000000000004" customHeight="1" x14ac:dyDescent="0.25">
      <c r="A85" s="230"/>
      <c r="B85" s="230"/>
      <c r="C85" s="230"/>
      <c r="D85" s="230"/>
      <c r="E85" s="242"/>
      <c r="F85" s="235"/>
      <c r="G85" s="251"/>
      <c r="H85" s="242"/>
      <c r="I85" s="235"/>
      <c r="J85" s="252"/>
    </row>
    <row r="86" spans="1:10" ht="15" x14ac:dyDescent="0.25">
      <c r="A86" s="13" t="s">
        <v>13</v>
      </c>
      <c r="B86" s="33"/>
      <c r="C86" s="12"/>
      <c r="D86" s="12"/>
      <c r="E86" s="44"/>
      <c r="F86" s="44"/>
      <c r="G86" s="43"/>
      <c r="H86" s="44"/>
      <c r="I86" s="44"/>
      <c r="J86" s="28"/>
    </row>
    <row r="87" spans="1:10" ht="15" x14ac:dyDescent="0.25">
      <c r="B87" s="2" t="s">
        <v>125</v>
      </c>
      <c r="C87"/>
      <c r="D87"/>
      <c r="E87" s="4"/>
      <c r="F87" s="29"/>
      <c r="G87" s="30"/>
      <c r="H87" s="4"/>
      <c r="I87" s="19"/>
      <c r="J87" s="41">
        <f>$C$83*I87</f>
        <v>0</v>
      </c>
    </row>
    <row r="88" spans="1:10" ht="15" x14ac:dyDescent="0.25">
      <c r="B88" s="2" t="s">
        <v>394</v>
      </c>
      <c r="C88"/>
      <c r="D88"/>
      <c r="E88" s="60">
        <v>0.75</v>
      </c>
      <c r="F88" s="19"/>
      <c r="G88" s="41"/>
      <c r="H88" s="4"/>
      <c r="I88" s="19">
        <v>0.03</v>
      </c>
      <c r="J88" s="41">
        <f>$C$83*I88*E88</f>
        <v>11250</v>
      </c>
    </row>
    <row r="89" spans="1:10" x14ac:dyDescent="0.2">
      <c r="A89" s="2"/>
      <c r="B89" s="2"/>
      <c r="C89" s="197" t="s">
        <v>128</v>
      </c>
      <c r="D89" s="197"/>
      <c r="E89" s="198"/>
      <c r="F89" s="198"/>
      <c r="G89" s="184">
        <f>SUM(G88)</f>
        <v>0</v>
      </c>
      <c r="H89" s="198"/>
      <c r="I89" s="198"/>
      <c r="J89" s="199">
        <f>SUM(J87:J88)</f>
        <v>11250</v>
      </c>
    </row>
    <row r="90" spans="1:10" x14ac:dyDescent="0.2">
      <c r="A90" s="2"/>
      <c r="B90" s="2" t="s">
        <v>255</v>
      </c>
      <c r="C90" s="2"/>
      <c r="D90" s="2"/>
      <c r="E90" s="4"/>
      <c r="F90" s="19"/>
      <c r="G90" s="41"/>
      <c r="H90" s="4"/>
      <c r="I90" s="19">
        <v>0</v>
      </c>
      <c r="J90" s="41">
        <f>$C$83*I90</f>
        <v>0</v>
      </c>
    </row>
    <row r="91" spans="1:10" ht="15" x14ac:dyDescent="0.25">
      <c r="A91" s="2"/>
      <c r="B91" s="413" t="s">
        <v>256</v>
      </c>
      <c r="C91" s="415"/>
      <c r="D91" s="214"/>
      <c r="E91" s="4"/>
      <c r="F91" s="53"/>
      <c r="G91" s="41"/>
      <c r="H91" s="4"/>
      <c r="I91" s="41"/>
      <c r="J91" s="27">
        <v>4500</v>
      </c>
    </row>
    <row r="92" spans="1:10" x14ac:dyDescent="0.2">
      <c r="A92" s="2"/>
      <c r="B92" s="2" t="s">
        <v>260</v>
      </c>
      <c r="C92" s="2"/>
      <c r="D92" s="2"/>
      <c r="E92" s="60">
        <v>0.75</v>
      </c>
      <c r="F92" s="19"/>
      <c r="G92" s="41"/>
      <c r="H92" s="4"/>
      <c r="I92" s="19">
        <v>0.03</v>
      </c>
      <c r="J92" s="41">
        <f>$C$83*I92*E92</f>
        <v>11250</v>
      </c>
    </row>
    <row r="93" spans="1:10" x14ac:dyDescent="0.2">
      <c r="A93" s="2"/>
      <c r="B93" s="2"/>
      <c r="C93" s="35" t="s">
        <v>5</v>
      </c>
      <c r="D93" s="35"/>
      <c r="E93" s="55"/>
      <c r="F93" s="55"/>
      <c r="G93" s="56">
        <f>SUM(G90:G92)</f>
        <v>0</v>
      </c>
      <c r="H93" s="55"/>
      <c r="I93" s="55"/>
      <c r="J93" s="56">
        <f>SUM(J90:J92)</f>
        <v>15750</v>
      </c>
    </row>
    <row r="94" spans="1:10" x14ac:dyDescent="0.2">
      <c r="A94" s="231" t="s">
        <v>129</v>
      </c>
      <c r="B94" s="231"/>
      <c r="C94" s="231"/>
      <c r="D94" s="231"/>
      <c r="E94" s="232"/>
      <c r="F94" s="232"/>
      <c r="G94" s="233">
        <f>G89-G93</f>
        <v>0</v>
      </c>
      <c r="H94" s="232"/>
      <c r="I94" s="232"/>
      <c r="J94" s="233">
        <f>J89-J93</f>
        <v>-4500</v>
      </c>
    </row>
    <row r="95" spans="1:10" ht="4.9000000000000004" customHeight="1" x14ac:dyDescent="0.2">
      <c r="A95" s="230"/>
      <c r="B95" s="230"/>
      <c r="C95" s="230"/>
      <c r="D95" s="230"/>
      <c r="E95" s="242"/>
      <c r="F95" s="242"/>
      <c r="G95" s="243"/>
      <c r="H95" s="242"/>
      <c r="I95" s="242"/>
      <c r="J95" s="244"/>
    </row>
    <row r="96" spans="1:10" ht="15" x14ac:dyDescent="0.25">
      <c r="A96" s="13" t="s">
        <v>130</v>
      </c>
      <c r="B96" s="33"/>
      <c r="C96" s="12"/>
      <c r="D96" s="12"/>
      <c r="E96" s="44"/>
      <c r="F96" s="44"/>
      <c r="G96" s="43"/>
      <c r="H96" s="44"/>
      <c r="I96" s="44"/>
      <c r="J96" s="28"/>
    </row>
    <row r="97" spans="1:10" ht="15" x14ac:dyDescent="0.25">
      <c r="B97" s="2" t="s">
        <v>125</v>
      </c>
      <c r="C97"/>
      <c r="D97"/>
      <c r="E97" s="4"/>
      <c r="F97" s="19">
        <v>0.06</v>
      </c>
      <c r="G97" s="41">
        <f>$C$83*F97</f>
        <v>30000</v>
      </c>
      <c r="H97" s="4"/>
      <c r="I97" s="19">
        <f>6%</f>
        <v>0.06</v>
      </c>
      <c r="J97" s="41">
        <f>$C$83*I97</f>
        <v>30000</v>
      </c>
    </row>
    <row r="98" spans="1:10" ht="15" x14ac:dyDescent="0.25">
      <c r="B98" s="2" t="s">
        <v>126</v>
      </c>
      <c r="C98"/>
      <c r="D98"/>
      <c r="E98" s="4"/>
      <c r="F98" s="11">
        <v>0.02</v>
      </c>
      <c r="G98" s="41">
        <f>$C$83*F98</f>
        <v>10000</v>
      </c>
      <c r="H98" s="4"/>
      <c r="I98" s="19">
        <v>0.03</v>
      </c>
      <c r="J98" s="41">
        <f>I98*C83*E88</f>
        <v>11250</v>
      </c>
    </row>
    <row r="99" spans="1:10" x14ac:dyDescent="0.2">
      <c r="B99" s="2"/>
      <c r="C99" s="197" t="s">
        <v>128</v>
      </c>
      <c r="D99" s="197"/>
      <c r="E99" s="198"/>
      <c r="F99" s="198"/>
      <c r="G99" s="184">
        <f>SUM(G97:G98)</f>
        <v>40000</v>
      </c>
      <c r="H99" s="198"/>
      <c r="I99" s="198"/>
      <c r="J99" s="184">
        <f>SUM(J97:J98)</f>
        <v>41250</v>
      </c>
    </row>
    <row r="100" spans="1:10" x14ac:dyDescent="0.2">
      <c r="B100" s="2" t="s">
        <v>255</v>
      </c>
      <c r="C100" s="2"/>
      <c r="D100" s="2"/>
      <c r="E100" s="4"/>
      <c r="F100" s="59">
        <v>2.8E-3</v>
      </c>
      <c r="G100" s="41">
        <f>F100*$C$83</f>
        <v>1400</v>
      </c>
      <c r="H100" s="4"/>
      <c r="I100" s="59">
        <v>2.8E-3</v>
      </c>
      <c r="J100" s="41">
        <f>I100*$C$83</f>
        <v>1400</v>
      </c>
    </row>
    <row r="101" spans="1:10" ht="15" x14ac:dyDescent="0.25">
      <c r="B101" s="413" t="s">
        <v>256</v>
      </c>
      <c r="C101" s="414"/>
      <c r="D101" s="215"/>
      <c r="E101" s="4"/>
      <c r="F101" s="19">
        <v>7.4999999999999997E-3</v>
      </c>
      <c r="G101" s="41">
        <f>F101*$C$83</f>
        <v>3750</v>
      </c>
      <c r="H101" s="4"/>
      <c r="I101" s="19">
        <v>1.2500000000000001E-2</v>
      </c>
      <c r="J101" s="41">
        <f>I101*$C$83</f>
        <v>6250</v>
      </c>
    </row>
    <row r="102" spans="1:10" x14ac:dyDescent="0.2">
      <c r="B102" s="2" t="s">
        <v>261</v>
      </c>
      <c r="C102" s="2"/>
      <c r="D102" s="2"/>
      <c r="E102" s="60">
        <v>0.25</v>
      </c>
      <c r="F102" s="19">
        <v>0.02</v>
      </c>
      <c r="G102" s="41">
        <f>F102*$C$83</f>
        <v>10000</v>
      </c>
      <c r="H102" s="4"/>
      <c r="I102" s="19">
        <v>0.02</v>
      </c>
      <c r="J102" s="41">
        <f>I102*$C$83*E102</f>
        <v>2500</v>
      </c>
    </row>
    <row r="103" spans="1:10" x14ac:dyDescent="0.2">
      <c r="B103" s="2" t="s">
        <v>150</v>
      </c>
      <c r="C103" s="2"/>
      <c r="D103" s="2"/>
      <c r="E103" s="60"/>
      <c r="F103" s="19"/>
      <c r="G103" s="41"/>
      <c r="H103" s="4"/>
      <c r="I103" s="19"/>
      <c r="J103" s="41">
        <f>J98</f>
        <v>11250</v>
      </c>
    </row>
    <row r="104" spans="1:10" x14ac:dyDescent="0.2">
      <c r="B104" s="2"/>
      <c r="C104" s="197" t="s">
        <v>5</v>
      </c>
      <c r="D104" s="197"/>
      <c r="E104" s="198"/>
      <c r="F104" s="198"/>
      <c r="G104" s="184">
        <f>SUM(G100:G103)</f>
        <v>15150</v>
      </c>
      <c r="H104" s="198"/>
      <c r="I104" s="198"/>
      <c r="J104" s="199">
        <f>SUM(J100:J103)</f>
        <v>21400</v>
      </c>
    </row>
    <row r="105" spans="1:10" x14ac:dyDescent="0.2">
      <c r="A105" s="231" t="s">
        <v>157</v>
      </c>
      <c r="B105" s="231"/>
      <c r="C105" s="231"/>
      <c r="D105" s="231"/>
      <c r="E105" s="232"/>
      <c r="F105" s="232"/>
      <c r="G105" s="233">
        <f>G99-G104</f>
        <v>24850</v>
      </c>
      <c r="H105" s="232"/>
      <c r="I105" s="232"/>
      <c r="J105" s="233">
        <f>J99-J104</f>
        <v>19850</v>
      </c>
    </row>
    <row r="106" spans="1:10" x14ac:dyDescent="0.2">
      <c r="B106" s="2" t="s">
        <v>154</v>
      </c>
      <c r="C106" s="8"/>
      <c r="D106" s="8"/>
      <c r="E106" s="57"/>
      <c r="F106" s="57"/>
      <c r="G106" s="21">
        <f>G105/$C$83</f>
        <v>4.9700000000000001E-2</v>
      </c>
      <c r="H106" s="21"/>
      <c r="I106" s="21"/>
      <c r="J106" s="21">
        <f>J105/$C$83</f>
        <v>3.9699999999999999E-2</v>
      </c>
    </row>
    <row r="107" spans="1:10" x14ac:dyDescent="0.2">
      <c r="B107" s="253" t="s">
        <v>10</v>
      </c>
      <c r="C107" s="254"/>
      <c r="D107" s="254"/>
      <c r="E107" s="255"/>
      <c r="F107" s="255"/>
      <c r="G107" s="256">
        <f>G105/(C83*F250)</f>
        <v>0.35512571106376323</v>
      </c>
      <c r="H107" s="256"/>
      <c r="I107" s="256"/>
      <c r="J107" s="257">
        <f>J105/(C83*F250)</f>
        <v>0.28367184565857945</v>
      </c>
    </row>
    <row r="108" spans="1:10" x14ac:dyDescent="0.2">
      <c r="A108" s="429" t="s">
        <v>395</v>
      </c>
      <c r="B108" s="432"/>
      <c r="C108" s="432"/>
      <c r="D108" s="432"/>
      <c r="E108" s="432"/>
      <c r="F108" s="432"/>
      <c r="G108" s="432"/>
      <c r="H108" s="432"/>
      <c r="I108" s="432"/>
      <c r="J108" s="432"/>
    </row>
    <row r="109" spans="1:10" x14ac:dyDescent="0.2">
      <c r="A109" s="429"/>
      <c r="B109" s="432"/>
      <c r="C109" s="432"/>
      <c r="D109" s="432"/>
      <c r="E109" s="432"/>
      <c r="F109" s="432"/>
      <c r="G109" s="432"/>
      <c r="H109" s="432"/>
      <c r="I109" s="432"/>
      <c r="J109" s="432"/>
    </row>
    <row r="110" spans="1:10" x14ac:dyDescent="0.2">
      <c r="A110" s="432"/>
      <c r="B110" s="432"/>
      <c r="C110" s="432"/>
      <c r="D110" s="432"/>
      <c r="E110" s="432"/>
      <c r="F110" s="432"/>
      <c r="G110" s="432"/>
      <c r="H110" s="432"/>
      <c r="I110" s="432"/>
      <c r="J110" s="432"/>
    </row>
    <row r="111" spans="1:10" x14ac:dyDescent="0.2">
      <c r="B111" s="2" t="s">
        <v>158</v>
      </c>
      <c r="C111" s="8"/>
      <c r="D111" s="8"/>
      <c r="E111" s="63">
        <v>1.1000000000000001</v>
      </c>
      <c r="F111" s="57"/>
      <c r="G111" s="58">
        <v>0</v>
      </c>
      <c r="H111" s="58"/>
      <c r="I111" s="58"/>
      <c r="J111" s="15">
        <f>C83*(E111-1)*E88</f>
        <v>37500.000000000029</v>
      </c>
    </row>
    <row r="112" spans="1:10" x14ac:dyDescent="0.2">
      <c r="A112" s="231" t="s">
        <v>131</v>
      </c>
      <c r="B112" s="231"/>
      <c r="C112" s="231"/>
      <c r="D112" s="231"/>
      <c r="E112" s="232"/>
      <c r="F112" s="232"/>
      <c r="G112" s="233">
        <f>G105+G111</f>
        <v>24850</v>
      </c>
      <c r="H112" s="232"/>
      <c r="I112" s="232"/>
      <c r="J112" s="233">
        <f>J105+J111</f>
        <v>57350.000000000029</v>
      </c>
    </row>
    <row r="113" spans="1:11" x14ac:dyDescent="0.2">
      <c r="A113" s="2"/>
      <c r="B113" s="2" t="s">
        <v>154</v>
      </c>
      <c r="C113" s="8"/>
      <c r="D113" s="8"/>
      <c r="E113" s="57"/>
      <c r="F113" s="57"/>
      <c r="G113" s="21">
        <f>G112/$C$83</f>
        <v>4.9700000000000001E-2</v>
      </c>
      <c r="H113" s="21"/>
      <c r="I113" s="21"/>
      <c r="J113" s="21">
        <f>J112/$C$83</f>
        <v>0.11470000000000005</v>
      </c>
      <c r="K113" s="2"/>
    </row>
    <row r="114" spans="1:11" x14ac:dyDescent="0.2">
      <c r="A114" s="2"/>
      <c r="B114" s="253" t="s">
        <v>10</v>
      </c>
      <c r="C114" s="254"/>
      <c r="D114" s="254"/>
      <c r="E114" s="255"/>
      <c r="F114" s="255"/>
      <c r="G114" s="256">
        <f>G112/(C83*F250)</f>
        <v>0.35512571106376323</v>
      </c>
      <c r="H114" s="256"/>
      <c r="I114" s="256"/>
      <c r="J114" s="257">
        <f>J112/(C83*F250)</f>
        <v>0.819575836197458</v>
      </c>
      <c r="K114" s="2"/>
    </row>
    <row r="115" spans="1:11" ht="4.9000000000000004" customHeight="1" x14ac:dyDescent="0.2">
      <c r="A115" s="230"/>
      <c r="B115" s="230"/>
      <c r="C115" s="234"/>
      <c r="D115" s="235"/>
      <c r="E115" s="235"/>
      <c r="F115" s="249"/>
      <c r="G115" s="235"/>
      <c r="H115" s="235"/>
      <c r="I115" s="250"/>
      <c r="J115" s="230"/>
    </row>
    <row r="116" spans="1:11" ht="15" x14ac:dyDescent="0.25">
      <c r="A116" s="13" t="s">
        <v>151</v>
      </c>
      <c r="B116" s="33"/>
      <c r="C116" s="12"/>
      <c r="D116" s="44"/>
      <c r="E116" s="44"/>
      <c r="F116" s="44"/>
      <c r="G116" s="44"/>
      <c r="H116" s="44"/>
      <c r="I116" s="44"/>
      <c r="J116" s="12"/>
    </row>
    <row r="117" spans="1:11" x14ac:dyDescent="0.2">
      <c r="B117" s="2" t="s">
        <v>135</v>
      </c>
      <c r="C117" s="2"/>
      <c r="D117" s="4"/>
      <c r="E117" s="4"/>
      <c r="F117" s="4"/>
      <c r="G117" s="41">
        <f>G97</f>
        <v>30000</v>
      </c>
      <c r="H117" s="4"/>
      <c r="I117" s="4"/>
      <c r="J117" s="41">
        <f>J97+J87</f>
        <v>30000</v>
      </c>
    </row>
    <row r="118" spans="1:11" ht="15" x14ac:dyDescent="0.25">
      <c r="B118" s="413" t="s">
        <v>136</v>
      </c>
      <c r="C118" s="414"/>
      <c r="D118" s="4"/>
      <c r="E118" s="4"/>
      <c r="F118" s="4"/>
      <c r="G118" s="41">
        <f>G98+G89</f>
        <v>10000</v>
      </c>
      <c r="H118" s="4"/>
      <c r="I118" s="4"/>
      <c r="J118" s="41">
        <f>J98</f>
        <v>11250</v>
      </c>
    </row>
    <row r="119" spans="1:11" x14ac:dyDescent="0.2">
      <c r="B119" s="2"/>
      <c r="C119" s="2" t="s">
        <v>5</v>
      </c>
      <c r="D119" s="4"/>
      <c r="E119" s="4"/>
      <c r="F119" s="4"/>
      <c r="G119" s="41">
        <f>SUM(G117:G118)</f>
        <v>40000</v>
      </c>
      <c r="H119" s="4"/>
      <c r="I119" s="4"/>
      <c r="J119" s="41">
        <f>SUM(J117:J118)</f>
        <v>41250</v>
      </c>
    </row>
    <row r="120" spans="1:11" x14ac:dyDescent="0.2">
      <c r="A120" s="231" t="s">
        <v>156</v>
      </c>
      <c r="B120" s="231"/>
      <c r="C120" s="231"/>
      <c r="D120" s="232"/>
      <c r="E120" s="232"/>
      <c r="F120" s="232"/>
      <c r="G120" s="233">
        <f>G119</f>
        <v>40000</v>
      </c>
      <c r="H120" s="232"/>
      <c r="I120" s="232"/>
      <c r="J120" s="233">
        <f>J119</f>
        <v>41250</v>
      </c>
    </row>
    <row r="121" spans="1:11" ht="4.9000000000000004" customHeight="1" x14ac:dyDescent="0.2">
      <c r="A121" s="230"/>
      <c r="B121" s="230"/>
      <c r="C121" s="230"/>
      <c r="D121" s="230"/>
      <c r="E121" s="242"/>
      <c r="F121" s="242"/>
      <c r="G121" s="243"/>
      <c r="H121" s="242"/>
      <c r="I121" s="242"/>
      <c r="J121" s="244"/>
    </row>
    <row r="122" spans="1:11" ht="15" x14ac:dyDescent="0.2">
      <c r="B122" s="2"/>
      <c r="C122" s="2"/>
      <c r="D122" s="2"/>
      <c r="E122" s="4"/>
      <c r="F122" s="416" t="s">
        <v>143</v>
      </c>
      <c r="G122" s="436"/>
      <c r="H122" s="4"/>
      <c r="I122" s="4"/>
      <c r="J122" s="27"/>
    </row>
    <row r="123" spans="1:11" ht="15" x14ac:dyDescent="0.25">
      <c r="B123" s="2" t="s">
        <v>132</v>
      </c>
      <c r="C123"/>
      <c r="D123"/>
      <c r="E123" s="4"/>
      <c r="F123" s="60">
        <v>0.16</v>
      </c>
      <c r="G123" s="41">
        <f>'M2'!$C$35*F123</f>
        <v>80000</v>
      </c>
      <c r="H123" s="4"/>
      <c r="I123" s="4"/>
      <c r="J123" s="27"/>
    </row>
    <row r="124" spans="1:11" ht="15" x14ac:dyDescent="0.25">
      <c r="B124" s="2" t="s">
        <v>133</v>
      </c>
      <c r="C124"/>
      <c r="D124"/>
      <c r="E124" s="4"/>
      <c r="F124" s="41">
        <v>75</v>
      </c>
      <c r="G124" s="41">
        <f>F124</f>
        <v>75</v>
      </c>
      <c r="H124" s="4"/>
      <c r="I124" s="4"/>
      <c r="J124" s="27"/>
    </row>
    <row r="125" spans="1:11" x14ac:dyDescent="0.2">
      <c r="B125" s="2"/>
      <c r="C125" s="2" t="s">
        <v>134</v>
      </c>
      <c r="D125" s="2"/>
      <c r="E125" s="4"/>
      <c r="F125" s="4"/>
      <c r="G125" s="62">
        <f>SUM(G123:G124)</f>
        <v>80075</v>
      </c>
      <c r="H125" s="4"/>
      <c r="I125" s="4"/>
      <c r="J125" s="27"/>
    </row>
    <row r="137" spans="1:13" x14ac:dyDescent="0.2">
      <c r="A137" s="200"/>
      <c r="B137" s="200"/>
      <c r="C137" s="168" t="s">
        <v>384</v>
      </c>
      <c r="D137" s="201"/>
      <c r="E137" s="201"/>
      <c r="F137" s="202"/>
      <c r="G137" s="201"/>
      <c r="H137" s="201"/>
      <c r="I137" s="203"/>
      <c r="J137" s="204"/>
      <c r="K137" s="205"/>
      <c r="L137" s="206"/>
      <c r="M137" s="206"/>
    </row>
    <row r="138" spans="1:13" x14ac:dyDescent="0.2">
      <c r="B138" s="2"/>
      <c r="C138" s="2"/>
      <c r="D138" s="4"/>
      <c r="E138" s="4"/>
      <c r="F138" s="41"/>
      <c r="G138" s="4"/>
      <c r="H138" s="4"/>
      <c r="I138" s="27"/>
      <c r="J138" s="418" t="s">
        <v>174</v>
      </c>
      <c r="K138" s="434"/>
      <c r="L138" s="434"/>
      <c r="M138" s="434"/>
    </row>
    <row r="139" spans="1:13" x14ac:dyDescent="0.2">
      <c r="A139" s="17" t="s">
        <v>144</v>
      </c>
      <c r="B139" s="17"/>
      <c r="C139" s="8"/>
      <c r="D139" s="25"/>
      <c r="E139" s="196">
        <v>10000000</v>
      </c>
      <c r="F139" s="41"/>
      <c r="G139" s="6" t="s">
        <v>160</v>
      </c>
      <c r="H139" s="196">
        <v>3150000</v>
      </c>
      <c r="I139" s="27"/>
      <c r="J139" s="435"/>
      <c r="K139" s="434"/>
      <c r="L139" s="434"/>
      <c r="M139" s="434"/>
    </row>
    <row r="140" spans="1:13" x14ac:dyDescent="0.2">
      <c r="A140" s="14" t="s">
        <v>145</v>
      </c>
      <c r="B140" s="2"/>
      <c r="C140" s="2"/>
      <c r="D140" s="4"/>
      <c r="E140" s="196">
        <f>E139*0.39</f>
        <v>3900000</v>
      </c>
      <c r="F140" s="41"/>
      <c r="G140" s="6" t="s">
        <v>162</v>
      </c>
      <c r="H140" s="196">
        <v>3000000</v>
      </c>
      <c r="I140" s="27"/>
      <c r="J140" s="435"/>
      <c r="K140" s="434"/>
      <c r="L140" s="434"/>
      <c r="M140" s="434"/>
    </row>
    <row r="141" spans="1:13" x14ac:dyDescent="0.2">
      <c r="A141" s="433" t="s">
        <v>401</v>
      </c>
      <c r="B141" s="419"/>
      <c r="C141" s="419"/>
      <c r="D141" s="4"/>
      <c r="E141" s="64"/>
      <c r="F141" s="41"/>
      <c r="G141" s="7" t="s">
        <v>161</v>
      </c>
      <c r="H141" s="207">
        <f>E139-H140</f>
        <v>7000000</v>
      </c>
      <c r="I141" s="27"/>
      <c r="J141" s="434"/>
      <c r="K141" s="434"/>
      <c r="L141" s="434"/>
      <c r="M141" s="434"/>
    </row>
    <row r="142" spans="1:13" ht="14.45" customHeight="1" x14ac:dyDescent="0.25">
      <c r="A142" s="419"/>
      <c r="B142" s="419"/>
      <c r="C142" s="419"/>
      <c r="D142"/>
      <c r="E142" s="29"/>
      <c r="F142" s="54"/>
      <c r="G142" s="25"/>
      <c r="H142" s="25"/>
      <c r="I142" s="15"/>
      <c r="J142" s="418" t="s">
        <v>400</v>
      </c>
      <c r="K142" s="419"/>
      <c r="L142" s="419"/>
      <c r="M142" s="419"/>
    </row>
    <row r="143" spans="1:13" ht="15" x14ac:dyDescent="0.25">
      <c r="A143" s="419"/>
      <c r="B143" s="419"/>
      <c r="C143" s="419"/>
      <c r="D143" s="4"/>
      <c r="E143" s="411" t="s">
        <v>163</v>
      </c>
      <c r="F143" s="431"/>
      <c r="G143" s="4"/>
      <c r="H143" s="411" t="s">
        <v>159</v>
      </c>
      <c r="I143" s="412"/>
      <c r="J143" s="435"/>
      <c r="K143" s="419"/>
      <c r="L143" s="419"/>
      <c r="M143" s="419"/>
    </row>
    <row r="144" spans="1:13" ht="15" x14ac:dyDescent="0.25">
      <c r="A144" s="419"/>
      <c r="B144" s="419"/>
      <c r="C144" s="419"/>
      <c r="D144" s="4"/>
      <c r="E144" s="57"/>
      <c r="F144" s="61"/>
      <c r="G144" s="4"/>
      <c r="H144" s="57"/>
      <c r="I144" s="34"/>
      <c r="J144" s="419"/>
      <c r="K144" s="419"/>
      <c r="L144" s="419"/>
      <c r="M144" s="419"/>
    </row>
    <row r="145" spans="1:18" ht="4.9000000000000004" customHeight="1" x14ac:dyDescent="0.25">
      <c r="A145" s="230"/>
      <c r="B145" s="230"/>
      <c r="C145" s="230"/>
      <c r="D145" s="242"/>
      <c r="E145" s="235"/>
      <c r="F145" s="251"/>
      <c r="G145" s="242"/>
      <c r="H145" s="235"/>
      <c r="I145" s="252"/>
      <c r="J145" s="219"/>
      <c r="K145" s="219"/>
      <c r="L145" s="219"/>
      <c r="M145" s="219"/>
    </row>
    <row r="146" spans="1:18" ht="15" x14ac:dyDescent="0.25">
      <c r="A146" s="239" t="s">
        <v>13</v>
      </c>
      <c r="B146" s="33"/>
      <c r="C146" s="12"/>
      <c r="D146" s="44"/>
      <c r="E146" s="44"/>
      <c r="F146" s="43"/>
      <c r="G146" s="44"/>
      <c r="H146" s="44"/>
      <c r="I146" s="28"/>
      <c r="J146" s="418" t="s">
        <v>177</v>
      </c>
      <c r="K146" s="419"/>
      <c r="L146" s="419"/>
      <c r="M146" s="419"/>
    </row>
    <row r="147" spans="1:18" ht="15" x14ac:dyDescent="0.25">
      <c r="B147" s="2" t="s">
        <v>125</v>
      </c>
      <c r="C147"/>
      <c r="D147" s="4"/>
      <c r="E147" s="19"/>
      <c r="F147" s="41"/>
      <c r="G147" s="4"/>
      <c r="H147" s="19"/>
      <c r="I147" s="41"/>
      <c r="J147" s="419"/>
      <c r="K147" s="419"/>
      <c r="L147" s="419"/>
      <c r="M147" s="419"/>
    </row>
    <row r="148" spans="1:18" ht="15" x14ac:dyDescent="0.25">
      <c r="B148" s="2" t="s">
        <v>126</v>
      </c>
      <c r="C148"/>
      <c r="D148" s="4"/>
      <c r="E148" s="19"/>
      <c r="F148" s="41"/>
      <c r="G148" s="4"/>
      <c r="H148" s="19"/>
      <c r="I148" s="41"/>
      <c r="J148" s="419"/>
      <c r="K148" s="419"/>
      <c r="L148" s="419"/>
      <c r="M148" s="419"/>
    </row>
    <row r="149" spans="1:18" x14ac:dyDescent="0.2">
      <c r="A149" s="2"/>
      <c r="B149" s="2"/>
      <c r="C149" s="197" t="s">
        <v>128</v>
      </c>
      <c r="D149" s="198"/>
      <c r="E149" s="198"/>
      <c r="F149" s="184">
        <f>SUM(F148)</f>
        <v>0</v>
      </c>
      <c r="G149" s="198"/>
      <c r="H149" s="198"/>
      <c r="I149" s="199">
        <f>SUM(I147:I148)</f>
        <v>0</v>
      </c>
      <c r="J149" s="418" t="s">
        <v>176</v>
      </c>
      <c r="K149" s="419"/>
      <c r="L149" s="419"/>
      <c r="M149" s="419"/>
    </row>
    <row r="150" spans="1:18" x14ac:dyDescent="0.2">
      <c r="A150" s="2"/>
      <c r="B150" s="2" t="s">
        <v>127</v>
      </c>
      <c r="C150" s="2"/>
      <c r="D150" s="4"/>
      <c r="E150" s="19"/>
      <c r="F150" s="41"/>
      <c r="G150" s="4"/>
      <c r="H150" s="59">
        <v>1.34E-2</v>
      </c>
      <c r="I150" s="41">
        <f>E140*H150</f>
        <v>52260</v>
      </c>
      <c r="J150" s="419"/>
      <c r="K150" s="419"/>
      <c r="L150" s="419"/>
      <c r="M150" s="419"/>
    </row>
    <row r="151" spans="1:18" ht="15" x14ac:dyDescent="0.25">
      <c r="A151" s="2"/>
      <c r="B151" s="413" t="s">
        <v>57</v>
      </c>
      <c r="C151" s="415"/>
      <c r="D151" s="4"/>
      <c r="E151" s="53"/>
      <c r="F151" s="41"/>
      <c r="G151" s="4"/>
      <c r="H151" s="41">
        <v>5000</v>
      </c>
      <c r="I151" s="27">
        <f>H151</f>
        <v>5000</v>
      </c>
      <c r="J151" s="419"/>
      <c r="K151" s="419"/>
      <c r="L151" s="419"/>
      <c r="M151" s="419"/>
    </row>
    <row r="152" spans="1:18" ht="15" x14ac:dyDescent="0.25">
      <c r="A152" s="2"/>
      <c r="B152" s="2" t="s">
        <v>147</v>
      </c>
      <c r="C152" s="189"/>
      <c r="D152" s="4"/>
      <c r="E152" s="53"/>
      <c r="F152" s="41"/>
      <c r="G152" s="4"/>
      <c r="H152" s="41"/>
      <c r="I152" s="27"/>
      <c r="J152" s="418" t="s">
        <v>175</v>
      </c>
      <c r="K152" s="419"/>
      <c r="L152" s="419"/>
      <c r="M152" s="419"/>
    </row>
    <row r="153" spans="1:18" x14ac:dyDescent="0.2">
      <c r="A153" s="2"/>
      <c r="B153" s="2" t="s">
        <v>146</v>
      </c>
      <c r="C153" s="2"/>
      <c r="D153" s="60"/>
      <c r="E153" s="19"/>
      <c r="F153" s="41"/>
      <c r="G153" s="4"/>
      <c r="H153" s="19"/>
      <c r="I153" s="41">
        <f>E140</f>
        <v>3900000</v>
      </c>
      <c r="J153" s="419"/>
      <c r="K153" s="419"/>
      <c r="L153" s="419"/>
      <c r="M153" s="419"/>
    </row>
    <row r="154" spans="1:18" x14ac:dyDescent="0.2">
      <c r="A154" s="2"/>
      <c r="B154" s="2"/>
      <c r="C154" s="35" t="s">
        <v>5</v>
      </c>
      <c r="D154" s="55"/>
      <c r="E154" s="55"/>
      <c r="F154" s="56">
        <f>SUM(F151:F153)</f>
        <v>0</v>
      </c>
      <c r="G154" s="55"/>
      <c r="H154" s="55"/>
      <c r="I154" s="56">
        <f>SUM(I150:I153)</f>
        <v>3957260</v>
      </c>
      <c r="J154" s="418" t="s">
        <v>296</v>
      </c>
      <c r="K154" s="419"/>
      <c r="L154" s="419"/>
      <c r="M154" s="419"/>
    </row>
    <row r="155" spans="1:18" x14ac:dyDescent="0.2">
      <c r="A155" s="231" t="s">
        <v>129</v>
      </c>
      <c r="B155" s="231"/>
      <c r="C155" s="231"/>
      <c r="D155" s="232"/>
      <c r="E155" s="232"/>
      <c r="F155" s="233">
        <f>F149-F154</f>
        <v>0</v>
      </c>
      <c r="G155" s="232"/>
      <c r="H155" s="232"/>
      <c r="I155" s="233">
        <f>I149-I154</f>
        <v>-3957260</v>
      </c>
      <c r="J155" s="419"/>
      <c r="K155" s="419"/>
      <c r="L155" s="419"/>
      <c r="M155" s="419"/>
    </row>
    <row r="156" spans="1:18" ht="4.9000000000000004" customHeight="1" x14ac:dyDescent="0.2">
      <c r="A156" s="230"/>
      <c r="B156" s="230"/>
      <c r="C156" s="230"/>
      <c r="D156" s="242"/>
      <c r="E156" s="242"/>
      <c r="F156" s="243"/>
      <c r="G156" s="242"/>
      <c r="H156" s="242"/>
      <c r="I156" s="244"/>
      <c r="J156" s="7"/>
    </row>
    <row r="157" spans="1:18" ht="15" x14ac:dyDescent="0.25">
      <c r="A157" s="239" t="s">
        <v>165</v>
      </c>
      <c r="B157" s="33"/>
      <c r="C157" s="12"/>
      <c r="D157" s="44"/>
      <c r="E157" s="44"/>
      <c r="F157" s="43"/>
      <c r="G157" s="44"/>
      <c r="H157" s="44"/>
      <c r="I157" s="28"/>
      <c r="J157" s="418" t="s">
        <v>295</v>
      </c>
      <c r="K157" s="419"/>
      <c r="L157" s="419"/>
      <c r="M157" s="419"/>
    </row>
    <row r="158" spans="1:18" ht="15" x14ac:dyDescent="0.25">
      <c r="B158" s="2" t="s">
        <v>178</v>
      </c>
      <c r="C158"/>
      <c r="D158"/>
      <c r="E158" s="19">
        <v>7.4999999999999997E-2</v>
      </c>
      <c r="F158" s="41">
        <f>E139*E158</f>
        <v>750000</v>
      </c>
      <c r="G158" s="41"/>
      <c r="H158" s="19">
        <v>0.05</v>
      </c>
      <c r="I158" s="27">
        <f>H141*H158</f>
        <v>350000</v>
      </c>
      <c r="J158" s="419"/>
      <c r="K158" s="419"/>
      <c r="L158" s="419"/>
      <c r="M158" s="419"/>
    </row>
    <row r="159" spans="1:18" ht="15" x14ac:dyDescent="0.25">
      <c r="B159" s="2" t="s">
        <v>126</v>
      </c>
      <c r="C159"/>
      <c r="D159"/>
      <c r="E159" s="19">
        <v>0.03</v>
      </c>
      <c r="F159" s="41">
        <f>$E$139*E159</f>
        <v>300000</v>
      </c>
      <c r="G159" s="41"/>
      <c r="H159" s="19">
        <v>3.5000000000000003E-2</v>
      </c>
      <c r="I159" s="27">
        <f>H141*H159</f>
        <v>245000.00000000003</v>
      </c>
      <c r="J159" s="419"/>
      <c r="K159" s="419"/>
      <c r="L159" s="419"/>
      <c r="M159" s="419"/>
    </row>
    <row r="160" spans="1:18" ht="15" x14ac:dyDescent="0.25">
      <c r="B160" s="2"/>
      <c r="C160" s="197" t="s">
        <v>128</v>
      </c>
      <c r="D160" s="208"/>
      <c r="E160" s="198"/>
      <c r="F160" s="184">
        <f>SUM(F158:F159)</f>
        <v>1050000</v>
      </c>
      <c r="G160" s="184"/>
      <c r="H160" s="198"/>
      <c r="I160" s="184">
        <f>SUM(I158:I159)</f>
        <v>595000</v>
      </c>
      <c r="J160" s="418" t="s">
        <v>396</v>
      </c>
      <c r="K160" s="418"/>
      <c r="L160" s="418"/>
      <c r="M160" s="418"/>
      <c r="O160"/>
      <c r="P160"/>
      <c r="Q160"/>
      <c r="R160"/>
    </row>
    <row r="161" spans="1:18" ht="15" x14ac:dyDescent="0.25">
      <c r="B161" s="2" t="s">
        <v>255</v>
      </c>
      <c r="C161" s="2"/>
      <c r="D161"/>
      <c r="E161" s="19">
        <f>F241</f>
        <v>2.8E-3</v>
      </c>
      <c r="F161" s="41">
        <f>$E$139*E161</f>
        <v>28000</v>
      </c>
      <c r="G161" s="41"/>
      <c r="H161" s="19">
        <f>E161</f>
        <v>2.8E-3</v>
      </c>
      <c r="I161" s="27">
        <f>$H$141*H161</f>
        <v>19600</v>
      </c>
      <c r="J161" s="418"/>
      <c r="K161" s="418"/>
      <c r="L161" s="418"/>
      <c r="M161" s="418"/>
      <c r="O161"/>
      <c r="P161"/>
      <c r="Q161"/>
      <c r="R161"/>
    </row>
    <row r="162" spans="1:18" ht="15" x14ac:dyDescent="0.25">
      <c r="B162" s="413" t="s">
        <v>256</v>
      </c>
      <c r="C162" s="414"/>
      <c r="D162"/>
      <c r="E162" s="19">
        <v>0.03</v>
      </c>
      <c r="F162" s="41">
        <f>$E$139*E162</f>
        <v>300000</v>
      </c>
      <c r="G162" s="41"/>
      <c r="H162" s="19">
        <v>0.03</v>
      </c>
      <c r="I162" s="27">
        <f>$H$141*H162</f>
        <v>210000</v>
      </c>
      <c r="J162" s="418" t="s">
        <v>179</v>
      </c>
      <c r="K162" s="419"/>
      <c r="L162" s="419"/>
      <c r="M162" s="419"/>
      <c r="O162"/>
      <c r="P162"/>
      <c r="Q162"/>
      <c r="R162"/>
    </row>
    <row r="163" spans="1:18" ht="15" x14ac:dyDescent="0.25">
      <c r="B163" s="2" t="s">
        <v>257</v>
      </c>
      <c r="C163" s="2"/>
      <c r="D163"/>
      <c r="E163" s="19">
        <v>0.03</v>
      </c>
      <c r="F163" s="41">
        <f>$E$139*E163</f>
        <v>300000</v>
      </c>
      <c r="G163" s="41"/>
      <c r="H163" s="60">
        <v>0</v>
      </c>
      <c r="I163" s="27">
        <f>$H$141*H163</f>
        <v>0</v>
      </c>
      <c r="J163" s="435"/>
      <c r="K163" s="419"/>
      <c r="L163" s="419"/>
      <c r="M163" s="419"/>
      <c r="O163"/>
      <c r="P163"/>
      <c r="Q163"/>
      <c r="R163"/>
    </row>
    <row r="164" spans="1:18" ht="15" x14ac:dyDescent="0.25">
      <c r="B164" s="2"/>
      <c r="C164" s="197" t="s">
        <v>16</v>
      </c>
      <c r="D164" s="208"/>
      <c r="E164" s="198"/>
      <c r="F164" s="184">
        <f>SUM(F161:F163)</f>
        <v>628000</v>
      </c>
      <c r="G164" s="184"/>
      <c r="H164" s="198"/>
      <c r="I164" s="199">
        <f>SUM(I161:I163)</f>
        <v>229600</v>
      </c>
      <c r="J164" s="418" t="s">
        <v>180</v>
      </c>
      <c r="K164" s="419"/>
      <c r="L164" s="419"/>
      <c r="M164" s="419"/>
    </row>
    <row r="165" spans="1:18" ht="15" x14ac:dyDescent="0.25">
      <c r="A165" s="231" t="s">
        <v>131</v>
      </c>
      <c r="B165" s="231"/>
      <c r="C165" s="231"/>
      <c r="D165" s="258"/>
      <c r="E165" s="232"/>
      <c r="F165" s="233">
        <f>F160-F164</f>
        <v>422000</v>
      </c>
      <c r="G165" s="233"/>
      <c r="H165" s="259"/>
      <c r="I165" s="233">
        <f>I160-I164</f>
        <v>365400</v>
      </c>
      <c r="J165" s="419"/>
      <c r="K165" s="419"/>
      <c r="L165" s="419"/>
      <c r="M165" s="419"/>
    </row>
    <row r="166" spans="1:18" ht="15" x14ac:dyDescent="0.25">
      <c r="A166" s="2"/>
      <c r="B166" s="2"/>
      <c r="C166" s="2" t="s">
        <v>141</v>
      </c>
      <c r="D166"/>
      <c r="E166" s="4"/>
      <c r="F166" s="19">
        <f>F165/E139</f>
        <v>4.2200000000000001E-2</v>
      </c>
      <c r="G166" s="19"/>
      <c r="H166" s="4"/>
      <c r="I166" s="10">
        <f>I165/H141</f>
        <v>5.2200000000000003E-2</v>
      </c>
      <c r="J166" s="419"/>
      <c r="K166" s="419"/>
      <c r="L166" s="419"/>
      <c r="M166" s="419"/>
    </row>
    <row r="167" spans="1:18" ht="15" x14ac:dyDescent="0.25">
      <c r="B167" s="2"/>
      <c r="C167" s="2" t="s">
        <v>140</v>
      </c>
      <c r="D167"/>
      <c r="E167" s="4"/>
      <c r="F167" s="19">
        <v>0.27700000000000002</v>
      </c>
      <c r="G167" s="19"/>
      <c r="H167" s="4"/>
      <c r="I167" s="10">
        <v>0.38269999999999998</v>
      </c>
    </row>
    <row r="168" spans="1:18" ht="15" x14ac:dyDescent="0.25">
      <c r="B168" s="2"/>
      <c r="C168" s="2"/>
      <c r="D168"/>
      <c r="E168" s="4"/>
      <c r="F168" s="19"/>
      <c r="G168" s="19"/>
      <c r="H168" s="4"/>
      <c r="I168" s="10"/>
    </row>
    <row r="169" spans="1:18" ht="15" x14ac:dyDescent="0.25">
      <c r="B169" s="2"/>
      <c r="C169" s="2"/>
      <c r="D169"/>
      <c r="E169" s="4"/>
      <c r="F169" s="19"/>
      <c r="G169" s="19"/>
      <c r="H169" s="4"/>
      <c r="I169" s="10"/>
    </row>
    <row r="170" spans="1:18" ht="15" x14ac:dyDescent="0.25">
      <c r="B170" s="2"/>
      <c r="C170" s="2"/>
      <c r="D170"/>
      <c r="E170" s="4"/>
      <c r="F170" s="19"/>
      <c r="G170" s="19"/>
      <c r="H170" s="4"/>
      <c r="I170" s="10"/>
    </row>
    <row r="171" spans="1:18" x14ac:dyDescent="0.2">
      <c r="A171" s="200"/>
      <c r="B171" s="200"/>
      <c r="C171" s="168" t="s">
        <v>404</v>
      </c>
      <c r="D171" s="201"/>
      <c r="E171" s="201"/>
      <c r="F171" s="202"/>
      <c r="G171" s="201"/>
      <c r="H171" s="201"/>
      <c r="I171" s="203"/>
      <c r="J171" s="204"/>
      <c r="K171" s="205"/>
      <c r="L171" s="206"/>
      <c r="M171" s="206"/>
    </row>
    <row r="172" spans="1:18" ht="15" x14ac:dyDescent="0.25">
      <c r="A172" s="12"/>
      <c r="B172" s="12"/>
      <c r="C172" s="12"/>
      <c r="D172" s="33"/>
      <c r="E172" s="44"/>
      <c r="F172" s="22"/>
      <c r="G172" s="22"/>
      <c r="H172" s="44"/>
      <c r="I172" s="260"/>
      <c r="J172" s="418" t="s">
        <v>184</v>
      </c>
      <c r="K172" s="419"/>
      <c r="L172" s="419"/>
      <c r="M172" s="419"/>
    </row>
    <row r="173" spans="1:18" ht="4.9000000000000004" customHeight="1" x14ac:dyDescent="0.2">
      <c r="A173" s="230"/>
      <c r="B173" s="230"/>
      <c r="C173" s="230"/>
      <c r="D173" s="242"/>
      <c r="E173" s="242"/>
      <c r="F173" s="243"/>
      <c r="G173" s="242"/>
      <c r="H173" s="242"/>
      <c r="I173" s="244"/>
      <c r="J173" s="419"/>
      <c r="K173" s="419"/>
      <c r="L173" s="419"/>
      <c r="M173" s="419"/>
    </row>
    <row r="174" spans="1:18" ht="14.45" customHeight="1" x14ac:dyDescent="0.25">
      <c r="A174" s="239" t="s">
        <v>148</v>
      </c>
      <c r="B174" s="33"/>
      <c r="C174" s="12"/>
      <c r="D174" s="44"/>
      <c r="E174" s="44"/>
      <c r="F174" s="43"/>
      <c r="G174" s="44"/>
      <c r="H174" s="44"/>
      <c r="I174" s="28"/>
      <c r="J174" s="419"/>
      <c r="K174" s="419"/>
      <c r="L174" s="419"/>
      <c r="M174" s="419"/>
    </row>
    <row r="175" spans="1:18" ht="12" customHeight="1" x14ac:dyDescent="0.2">
      <c r="A175" s="26"/>
      <c r="B175" s="2" t="s">
        <v>126</v>
      </c>
      <c r="C175" s="2"/>
      <c r="D175" s="4"/>
      <c r="E175" s="4"/>
      <c r="F175" s="41">
        <v>1500000</v>
      </c>
      <c r="G175" s="4"/>
      <c r="H175" s="4"/>
      <c r="I175" s="27">
        <v>1250000</v>
      </c>
      <c r="J175" s="419"/>
      <c r="K175" s="419"/>
      <c r="L175" s="419"/>
      <c r="M175" s="419"/>
    </row>
    <row r="176" spans="1:18" ht="15" x14ac:dyDescent="0.25">
      <c r="A176" s="26"/>
      <c r="B176" s="32"/>
      <c r="C176" s="197" t="s">
        <v>128</v>
      </c>
      <c r="D176" s="198"/>
      <c r="E176" s="198"/>
      <c r="F176" s="184">
        <f>SUM(F175)</f>
        <v>1500000</v>
      </c>
      <c r="G176" s="198"/>
      <c r="H176" s="198"/>
      <c r="I176" s="184">
        <f>SUM(I175)</f>
        <v>1250000</v>
      </c>
      <c r="J176" s="419"/>
      <c r="K176" s="419"/>
      <c r="L176" s="419"/>
      <c r="M176" s="419"/>
    </row>
    <row r="177" spans="1:19" x14ac:dyDescent="0.2">
      <c r="A177" s="26"/>
      <c r="B177" s="2" t="s">
        <v>135</v>
      </c>
      <c r="C177" s="2"/>
      <c r="D177" s="4"/>
      <c r="E177" s="11"/>
      <c r="F177" s="41">
        <f>F158</f>
        <v>750000</v>
      </c>
      <c r="G177" s="4"/>
      <c r="H177" s="19"/>
      <c r="I177" s="41">
        <f>I158+I187</f>
        <v>500000</v>
      </c>
      <c r="J177" s="418" t="s">
        <v>181</v>
      </c>
      <c r="K177" s="419"/>
      <c r="L177" s="419"/>
      <c r="M177" s="419"/>
    </row>
    <row r="178" spans="1:19" ht="15" x14ac:dyDescent="0.25">
      <c r="B178" s="413" t="s">
        <v>136</v>
      </c>
      <c r="C178" s="414"/>
      <c r="D178" s="4"/>
      <c r="E178" s="11"/>
      <c r="F178" s="41">
        <f>F159</f>
        <v>300000</v>
      </c>
      <c r="G178" s="4"/>
      <c r="H178" s="19"/>
      <c r="I178" s="41">
        <f>I159</f>
        <v>245000.00000000003</v>
      </c>
      <c r="J178" s="419"/>
      <c r="K178" s="419"/>
      <c r="L178" s="419"/>
      <c r="M178" s="419"/>
    </row>
    <row r="179" spans="1:19" ht="15" x14ac:dyDescent="0.25">
      <c r="B179" s="188" t="s">
        <v>137</v>
      </c>
      <c r="C179" s="187"/>
      <c r="D179" s="4"/>
      <c r="E179" s="19"/>
      <c r="F179" s="41">
        <f>F159</f>
        <v>300000</v>
      </c>
      <c r="G179" s="4"/>
      <c r="H179" s="19">
        <v>3.5000000000000003E-2</v>
      </c>
      <c r="I179" s="27">
        <f>E139*H179</f>
        <v>350000.00000000006</v>
      </c>
      <c r="J179" s="70" t="s">
        <v>182</v>
      </c>
      <c r="K179" s="71"/>
      <c r="L179" s="71"/>
      <c r="M179" s="36"/>
      <c r="P179" s="323"/>
      <c r="Q179" s="218"/>
      <c r="R179" s="218"/>
      <c r="S179" s="218"/>
    </row>
    <row r="180" spans="1:19" ht="15" x14ac:dyDescent="0.25">
      <c r="B180" s="2"/>
      <c r="C180" s="197" t="s">
        <v>5</v>
      </c>
      <c r="D180" s="198"/>
      <c r="E180" s="198"/>
      <c r="F180" s="199">
        <f>SUM(F177:F179)</f>
        <v>1350000</v>
      </c>
      <c r="G180" s="198"/>
      <c r="H180" s="198"/>
      <c r="I180" s="199">
        <f>SUM(I177:I179)</f>
        <v>1095000</v>
      </c>
      <c r="J180" s="70" t="s">
        <v>183</v>
      </c>
      <c r="K180" s="36"/>
      <c r="L180" s="125"/>
      <c r="M180" s="71"/>
      <c r="P180" s="323"/>
      <c r="Q180" s="218"/>
      <c r="R180" s="218"/>
      <c r="S180" s="218"/>
    </row>
    <row r="181" spans="1:19" ht="15" x14ac:dyDescent="0.25">
      <c r="A181" s="443" t="s">
        <v>172</v>
      </c>
      <c r="B181" s="444"/>
      <c r="C181" s="444"/>
      <c r="D181" s="258"/>
      <c r="E181" s="232"/>
      <c r="F181" s="233">
        <f>F176-F180</f>
        <v>150000</v>
      </c>
      <c r="G181" s="233"/>
      <c r="H181" s="232"/>
      <c r="I181" s="233">
        <f>I176-I180</f>
        <v>155000</v>
      </c>
      <c r="J181" s="418" t="s">
        <v>185</v>
      </c>
      <c r="K181" s="419"/>
      <c r="L181" s="419"/>
      <c r="M181" s="419"/>
      <c r="P181" s="323"/>
      <c r="Q181" s="218"/>
      <c r="R181" s="218"/>
      <c r="S181" s="218"/>
    </row>
    <row r="182" spans="1:19" ht="15" x14ac:dyDescent="0.25">
      <c r="B182" s="2"/>
      <c r="C182" s="2" t="s">
        <v>164</v>
      </c>
      <c r="D182" s="4"/>
      <c r="E182" s="4"/>
      <c r="F182" s="65">
        <f>E139-F175</f>
        <v>8500000</v>
      </c>
      <c r="G182" s="41"/>
      <c r="H182" s="41"/>
      <c r="I182" s="65">
        <f>E139-I175</f>
        <v>8750000</v>
      </c>
      <c r="J182" s="435"/>
      <c r="K182" s="419"/>
      <c r="L182" s="419"/>
      <c r="M182" s="419"/>
      <c r="P182" s="322"/>
      <c r="Q182" s="218"/>
      <c r="R182" s="218"/>
      <c r="S182" s="218"/>
    </row>
    <row r="183" spans="1:19" ht="15" x14ac:dyDescent="0.25">
      <c r="B183" s="2"/>
      <c r="C183" s="2" t="s">
        <v>154</v>
      </c>
      <c r="D183" s="4"/>
      <c r="E183" s="4"/>
      <c r="F183" s="10">
        <f>F181/E139</f>
        <v>1.4999999999999999E-2</v>
      </c>
      <c r="G183" s="19"/>
      <c r="H183" s="19"/>
      <c r="I183" s="10">
        <f>I181/E139</f>
        <v>1.55E-2</v>
      </c>
      <c r="J183" s="435"/>
      <c r="K183" s="419"/>
      <c r="L183" s="419"/>
      <c r="M183" s="419"/>
      <c r="P183" s="218"/>
      <c r="Q183" s="218"/>
      <c r="R183" s="218"/>
      <c r="S183" s="218"/>
    </row>
    <row r="184" spans="1:19" ht="15" x14ac:dyDescent="0.25">
      <c r="B184" s="2"/>
      <c r="C184" s="2" t="s">
        <v>262</v>
      </c>
      <c r="D184" s="4"/>
      <c r="E184" s="4"/>
      <c r="F184" s="10">
        <f>F181/(E139*0.15)</f>
        <v>0.1</v>
      </c>
      <c r="G184" s="19"/>
      <c r="H184" s="19"/>
      <c r="I184" s="10">
        <f>I181/(E139*0.15)</f>
        <v>0.10333333333333333</v>
      </c>
      <c r="J184" s="418" t="s">
        <v>397</v>
      </c>
      <c r="K184" s="405"/>
      <c r="L184" s="405"/>
      <c r="M184" s="405"/>
      <c r="P184" s="218"/>
      <c r="Q184" s="218"/>
      <c r="R184" s="218"/>
      <c r="S184" s="218"/>
    </row>
    <row r="185" spans="1:19" ht="4.9000000000000004" customHeight="1" x14ac:dyDescent="0.25">
      <c r="A185" s="230"/>
      <c r="B185" s="230"/>
      <c r="C185" s="230"/>
      <c r="D185" s="242"/>
      <c r="E185" s="242"/>
      <c r="F185" s="244"/>
      <c r="G185" s="243"/>
      <c r="H185" s="243"/>
      <c r="I185" s="244"/>
      <c r="J185" s="405"/>
      <c r="K185" s="405"/>
      <c r="L185" s="405"/>
      <c r="M185" s="405"/>
      <c r="P185" s="218"/>
      <c r="Q185" s="218"/>
      <c r="R185" s="218"/>
      <c r="S185" s="218"/>
    </row>
    <row r="186" spans="1:19" ht="15" x14ac:dyDescent="0.25">
      <c r="A186" s="239" t="s">
        <v>167</v>
      </c>
      <c r="B186" s="12"/>
      <c r="C186" s="12"/>
      <c r="D186" s="44"/>
      <c r="E186" s="44"/>
      <c r="F186" s="43"/>
      <c r="G186" s="44"/>
      <c r="H186" s="44"/>
      <c r="I186" s="28"/>
      <c r="J186" s="434"/>
      <c r="K186" s="434"/>
      <c r="L186" s="434"/>
      <c r="M186" s="434"/>
    </row>
    <row r="187" spans="1:19" x14ac:dyDescent="0.2">
      <c r="B187" s="2"/>
      <c r="C187" s="2" t="s">
        <v>168</v>
      </c>
      <c r="D187" s="4"/>
      <c r="E187" s="4"/>
      <c r="F187" s="41"/>
      <c r="G187" s="4"/>
      <c r="H187" s="60">
        <v>0.05</v>
      </c>
      <c r="I187" s="27">
        <f>H187*H140</f>
        <v>150000</v>
      </c>
      <c r="J187" s="418" t="s">
        <v>398</v>
      </c>
      <c r="K187" s="419"/>
      <c r="L187" s="419"/>
      <c r="M187" s="419"/>
    </row>
    <row r="188" spans="1:19" x14ac:dyDescent="0.2">
      <c r="B188" s="2"/>
      <c r="C188" s="2" t="s">
        <v>138</v>
      </c>
      <c r="D188" s="4"/>
      <c r="E188" s="4"/>
      <c r="F188" s="41"/>
      <c r="G188" s="4"/>
      <c r="H188" s="60">
        <v>0</v>
      </c>
      <c r="I188" s="27"/>
      <c r="J188" s="419"/>
      <c r="K188" s="419"/>
      <c r="L188" s="419"/>
      <c r="M188" s="419"/>
    </row>
    <row r="189" spans="1:19" ht="15" x14ac:dyDescent="0.2">
      <c r="B189" s="2"/>
      <c r="C189" s="197" t="s">
        <v>166</v>
      </c>
      <c r="D189" s="198"/>
      <c r="E189" s="198"/>
      <c r="F189" s="184"/>
      <c r="G189" s="198"/>
      <c r="H189" s="209"/>
      <c r="I189" s="199">
        <f>SUM(I187:I188)</f>
        <v>150000</v>
      </c>
      <c r="J189" s="418" t="s">
        <v>403</v>
      </c>
      <c r="K189" s="420"/>
      <c r="L189" s="420"/>
      <c r="M189" s="420"/>
    </row>
    <row r="190" spans="1:19" ht="14.45" customHeight="1" x14ac:dyDescent="0.2">
      <c r="B190" s="2"/>
      <c r="C190" s="2" t="s">
        <v>169</v>
      </c>
      <c r="D190" s="4"/>
      <c r="E190" s="4"/>
      <c r="F190" s="41"/>
      <c r="G190" s="4"/>
      <c r="H190" s="60">
        <v>0.02</v>
      </c>
      <c r="I190" s="27">
        <f>H140*H190</f>
        <v>60000</v>
      </c>
      <c r="J190" s="418" t="s">
        <v>402</v>
      </c>
      <c r="K190" s="420"/>
      <c r="L190" s="420"/>
      <c r="M190" s="420"/>
    </row>
    <row r="191" spans="1:19" x14ac:dyDescent="0.2">
      <c r="B191" s="2"/>
      <c r="C191" s="197" t="s">
        <v>170</v>
      </c>
      <c r="D191" s="198"/>
      <c r="E191" s="198"/>
      <c r="F191" s="184"/>
      <c r="G191" s="198"/>
      <c r="H191" s="209"/>
      <c r="I191" s="199">
        <f>SUM(I190:I190)</f>
        <v>60000</v>
      </c>
      <c r="J191" s="419"/>
      <c r="K191" s="419"/>
      <c r="L191" s="419"/>
      <c r="M191" s="419"/>
    </row>
    <row r="192" spans="1:19" x14ac:dyDescent="0.2">
      <c r="B192" s="2"/>
      <c r="C192" s="2" t="s">
        <v>171</v>
      </c>
      <c r="D192" s="4"/>
      <c r="E192" s="4"/>
      <c r="F192" s="41"/>
      <c r="G192" s="4"/>
      <c r="H192" s="4"/>
      <c r="I192" s="27">
        <f>H139-H140</f>
        <v>150000</v>
      </c>
      <c r="J192" s="419"/>
      <c r="K192" s="419"/>
      <c r="L192" s="419"/>
      <c r="M192" s="419"/>
    </row>
    <row r="193" spans="1:15" ht="15" x14ac:dyDescent="0.25">
      <c r="A193" s="197" t="s">
        <v>173</v>
      </c>
      <c r="B193" s="197"/>
      <c r="C193" s="197"/>
      <c r="D193" s="208"/>
      <c r="E193" s="198"/>
      <c r="F193" s="183"/>
      <c r="G193" s="183"/>
      <c r="H193" s="198"/>
      <c r="I193" s="183">
        <f>I189-I191+I192</f>
        <v>240000</v>
      </c>
      <c r="J193" s="418" t="s">
        <v>399</v>
      </c>
      <c r="K193" s="419"/>
      <c r="L193" s="419"/>
      <c r="M193" s="419"/>
    </row>
    <row r="194" spans="1:15" x14ac:dyDescent="0.2">
      <c r="B194" s="2"/>
      <c r="C194" s="2" t="s">
        <v>154</v>
      </c>
      <c r="D194" s="4"/>
      <c r="E194" s="4"/>
      <c r="F194" s="41"/>
      <c r="G194" s="4"/>
      <c r="H194" s="4"/>
      <c r="I194" s="10" t="s">
        <v>155</v>
      </c>
      <c r="J194" s="435"/>
      <c r="K194" s="419"/>
      <c r="L194" s="419"/>
      <c r="M194" s="419"/>
    </row>
    <row r="195" spans="1:15" x14ac:dyDescent="0.2">
      <c r="B195" s="2"/>
      <c r="C195" s="2" t="s">
        <v>10</v>
      </c>
      <c r="D195" s="4"/>
      <c r="E195" s="4"/>
      <c r="F195" s="41"/>
      <c r="G195" s="4"/>
      <c r="H195" s="4"/>
      <c r="I195" s="10" t="str">
        <f>I194</f>
        <v>Infinite</v>
      </c>
      <c r="J195" s="435"/>
      <c r="K195" s="419"/>
      <c r="L195" s="419"/>
      <c r="M195" s="419"/>
    </row>
    <row r="196" spans="1:15" x14ac:dyDescent="0.2">
      <c r="A196" s="12"/>
      <c r="B196" s="12"/>
      <c r="C196" s="12"/>
      <c r="D196" s="44"/>
      <c r="E196" s="44"/>
      <c r="F196" s="43"/>
      <c r="G196" s="44"/>
      <c r="H196" s="44"/>
      <c r="I196" s="28"/>
      <c r="J196" s="435"/>
      <c r="K196" s="419"/>
      <c r="L196" s="419"/>
      <c r="M196" s="419"/>
    </row>
    <row r="201" spans="1:15" ht="15" x14ac:dyDescent="0.2">
      <c r="A201" s="165"/>
      <c r="B201" s="165"/>
      <c r="C201" s="408" t="s">
        <v>380</v>
      </c>
      <c r="D201" s="441"/>
      <c r="E201" s="441"/>
      <c r="F201" s="441"/>
      <c r="G201" s="441"/>
      <c r="H201" s="441"/>
      <c r="I201" s="441"/>
      <c r="J201" s="441"/>
      <c r="K201" s="441"/>
      <c r="L201" s="441"/>
      <c r="M201" s="177"/>
      <c r="N201" s="177"/>
      <c r="O201" s="178"/>
    </row>
    <row r="202" spans="1:15" ht="15" x14ac:dyDescent="0.2">
      <c r="A202" s="165"/>
      <c r="B202" s="165"/>
      <c r="C202" s="441"/>
      <c r="D202" s="441"/>
      <c r="E202" s="441"/>
      <c r="F202" s="441"/>
      <c r="G202" s="441"/>
      <c r="H202" s="441"/>
      <c r="I202" s="441"/>
      <c r="J202" s="441"/>
      <c r="K202" s="441"/>
      <c r="L202" s="441"/>
      <c r="M202" s="177"/>
      <c r="N202" s="177"/>
      <c r="O202" s="178"/>
    </row>
    <row r="203" spans="1:15" ht="15" x14ac:dyDescent="0.2">
      <c r="A203" s="42"/>
      <c r="B203" s="42"/>
      <c r="C203" s="144"/>
      <c r="D203" s="144"/>
      <c r="E203" s="144"/>
      <c r="F203" s="144"/>
      <c r="G203" s="144"/>
      <c r="H203" s="144"/>
      <c r="I203" s="144"/>
      <c r="J203" s="144"/>
      <c r="K203" s="144"/>
      <c r="L203" s="144"/>
      <c r="M203" s="74"/>
      <c r="N203" s="74"/>
      <c r="O203" s="75"/>
    </row>
    <row r="204" spans="1:15" x14ac:dyDescent="0.2">
      <c r="A204" s="164"/>
      <c r="B204" s="164"/>
      <c r="C204" s="162"/>
      <c r="D204" s="162"/>
      <c r="E204" s="162"/>
      <c r="F204" s="162"/>
      <c r="G204" s="162"/>
      <c r="H204" s="162"/>
      <c r="I204" s="162"/>
      <c r="J204" s="162"/>
      <c r="K204" s="162"/>
      <c r="L204" s="162"/>
      <c r="M204" s="162"/>
      <c r="N204" s="162"/>
      <c r="O204" s="162"/>
    </row>
    <row r="205" spans="1:15" x14ac:dyDescent="0.2">
      <c r="A205" s="42"/>
      <c r="B205" s="42"/>
      <c r="C205" s="74"/>
      <c r="D205" s="74"/>
      <c r="E205" s="74"/>
      <c r="F205" s="74"/>
      <c r="G205" s="74"/>
      <c r="H205" s="74"/>
      <c r="I205" s="74"/>
      <c r="J205" s="74"/>
      <c r="K205" s="74"/>
      <c r="L205" s="74"/>
      <c r="M205" s="74"/>
      <c r="N205" s="75"/>
      <c r="O205" s="42"/>
    </row>
    <row r="206" spans="1:15" x14ac:dyDescent="0.2">
      <c r="A206" s="42"/>
      <c r="B206" s="42"/>
      <c r="C206" s="167" t="s">
        <v>278</v>
      </c>
      <c r="D206" s="163"/>
      <c r="E206" s="163"/>
      <c r="F206" s="163"/>
      <c r="G206" s="163"/>
      <c r="H206" s="163"/>
      <c r="I206" s="163"/>
      <c r="J206" s="163"/>
      <c r="K206" s="163"/>
      <c r="L206" s="163"/>
      <c r="M206" s="163"/>
      <c r="N206" s="163"/>
      <c r="O206" s="42"/>
    </row>
    <row r="207" spans="1:15" x14ac:dyDescent="0.2">
      <c r="A207" s="42"/>
      <c r="B207" s="42"/>
      <c r="C207" s="74"/>
      <c r="D207" s="74"/>
      <c r="E207" s="74"/>
      <c r="F207" s="74"/>
      <c r="G207" s="74"/>
      <c r="H207" s="74"/>
      <c r="I207" s="74"/>
      <c r="J207" s="74"/>
      <c r="K207" s="74"/>
      <c r="L207" s="74"/>
      <c r="M207" s="74"/>
      <c r="N207" s="74"/>
      <c r="O207" s="42"/>
    </row>
    <row r="208" spans="1:15" x14ac:dyDescent="0.2">
      <c r="A208" s="42"/>
      <c r="B208" s="42"/>
      <c r="C208" s="74"/>
      <c r="D208" s="74"/>
      <c r="E208" s="74"/>
      <c r="F208" s="74"/>
      <c r="G208" s="74"/>
      <c r="H208" s="74"/>
      <c r="I208" s="74"/>
      <c r="J208" s="74"/>
      <c r="K208" s="74"/>
      <c r="L208" s="74"/>
      <c r="M208" s="74"/>
      <c r="N208" s="74"/>
      <c r="O208" s="42"/>
    </row>
    <row r="209" spans="1:15" x14ac:dyDescent="0.2">
      <c r="A209" s="42"/>
      <c r="B209" s="42"/>
      <c r="C209" s="76" t="s">
        <v>360</v>
      </c>
      <c r="D209" s="74"/>
      <c r="E209" s="166" t="s">
        <v>20</v>
      </c>
      <c r="F209" s="166" t="s">
        <v>273</v>
      </c>
      <c r="G209" s="181" t="s">
        <v>361</v>
      </c>
      <c r="H209" s="166" t="s">
        <v>379</v>
      </c>
      <c r="I209" s="166" t="s">
        <v>375</v>
      </c>
      <c r="J209" s="166" t="s">
        <v>270</v>
      </c>
      <c r="K209" s="166" t="s">
        <v>362</v>
      </c>
      <c r="L209" s="166" t="s">
        <v>274</v>
      </c>
      <c r="M209" s="151"/>
      <c r="N209" s="74"/>
      <c r="O209" s="42"/>
    </row>
    <row r="210" spans="1:15" x14ac:dyDescent="0.2">
      <c r="A210" s="42"/>
      <c r="B210" s="42"/>
      <c r="C210" s="74"/>
      <c r="D210" s="74"/>
      <c r="E210" s="79"/>
      <c r="F210" s="79"/>
      <c r="G210" s="145"/>
      <c r="H210" s="79"/>
      <c r="I210" s="79"/>
      <c r="J210" s="79"/>
      <c r="K210" s="79"/>
      <c r="L210" s="79"/>
      <c r="M210" s="151"/>
      <c r="N210" s="74"/>
      <c r="O210" s="42"/>
    </row>
    <row r="211" spans="1:15" x14ac:dyDescent="0.2">
      <c r="A211" s="42"/>
      <c r="B211" s="42"/>
      <c r="C211" s="76" t="s">
        <v>359</v>
      </c>
      <c r="D211" s="74"/>
      <c r="E211" s="118"/>
      <c r="F211" s="118"/>
      <c r="G211" s="182"/>
      <c r="H211" s="118"/>
      <c r="I211" s="118"/>
      <c r="J211" s="118"/>
      <c r="K211" s="118"/>
      <c r="L211" s="118"/>
      <c r="M211" s="74"/>
      <c r="N211" s="74"/>
      <c r="O211" s="42"/>
    </row>
    <row r="212" spans="1:15" x14ac:dyDescent="0.2">
      <c r="A212" s="42"/>
      <c r="B212" s="42"/>
      <c r="C212" s="74" t="s">
        <v>17</v>
      </c>
      <c r="D212" s="74"/>
      <c r="E212" s="182" t="s">
        <v>277</v>
      </c>
      <c r="F212" s="182" t="s">
        <v>277</v>
      </c>
      <c r="G212" s="182" t="s">
        <v>277</v>
      </c>
      <c r="H212" s="182" t="s">
        <v>277</v>
      </c>
      <c r="I212" s="182"/>
      <c r="J212" s="182"/>
      <c r="K212" s="182" t="s">
        <v>277</v>
      </c>
      <c r="L212" s="182"/>
      <c r="M212" s="74"/>
      <c r="N212" s="74"/>
      <c r="O212" s="42"/>
    </row>
    <row r="213" spans="1:15" x14ac:dyDescent="0.2">
      <c r="A213" s="42"/>
      <c r="B213" s="42"/>
      <c r="C213" s="74" t="s">
        <v>276</v>
      </c>
      <c r="D213" s="74"/>
      <c r="E213" s="118"/>
      <c r="F213" s="118" t="s">
        <v>277</v>
      </c>
      <c r="G213" s="182"/>
      <c r="H213" s="118" t="s">
        <v>277</v>
      </c>
      <c r="I213" s="118"/>
      <c r="J213" s="118"/>
      <c r="K213" s="118"/>
      <c r="L213" s="118"/>
      <c r="M213" s="74"/>
      <c r="N213" s="74"/>
      <c r="O213" s="42"/>
    </row>
    <row r="214" spans="1:15" x14ac:dyDescent="0.2">
      <c r="A214" s="42"/>
      <c r="B214" s="42"/>
      <c r="C214" s="74" t="s">
        <v>14</v>
      </c>
      <c r="D214" s="74"/>
      <c r="E214" s="118"/>
      <c r="F214" s="118" t="s">
        <v>277</v>
      </c>
      <c r="G214" s="182" t="s">
        <v>277</v>
      </c>
      <c r="H214" s="118"/>
      <c r="I214" s="118"/>
      <c r="J214" s="118"/>
      <c r="K214" s="118" t="s">
        <v>277</v>
      </c>
      <c r="L214" s="118"/>
      <c r="M214" s="74"/>
      <c r="N214" s="74"/>
      <c r="O214" s="42"/>
    </row>
    <row r="215" spans="1:15" x14ac:dyDescent="0.2">
      <c r="A215" s="42"/>
      <c r="B215" s="42"/>
      <c r="C215" s="74" t="s">
        <v>15</v>
      </c>
      <c r="D215" s="74"/>
      <c r="E215" s="118"/>
      <c r="F215" s="118"/>
      <c r="G215" s="182" t="s">
        <v>277</v>
      </c>
      <c r="H215" s="118"/>
      <c r="I215" s="118" t="s">
        <v>277</v>
      </c>
      <c r="J215" s="118" t="s">
        <v>277</v>
      </c>
      <c r="K215" s="118"/>
      <c r="L215" s="118"/>
      <c r="M215" s="74"/>
      <c r="N215" s="74"/>
      <c r="O215" s="42"/>
    </row>
    <row r="216" spans="1:15" x14ac:dyDescent="0.2">
      <c r="A216" s="42"/>
      <c r="B216" s="42"/>
      <c r="C216" s="74" t="s">
        <v>18</v>
      </c>
      <c r="D216" s="74"/>
      <c r="E216" s="118"/>
      <c r="F216" s="118" t="s">
        <v>277</v>
      </c>
      <c r="G216" s="182"/>
      <c r="H216" s="118" t="s">
        <v>277</v>
      </c>
      <c r="I216" s="118"/>
      <c r="J216" s="118"/>
      <c r="K216" s="118"/>
      <c r="L216" s="118"/>
      <c r="M216" s="74"/>
      <c r="N216" s="74"/>
      <c r="O216" s="42"/>
    </row>
    <row r="217" spans="1:15" x14ac:dyDescent="0.2">
      <c r="A217" s="42"/>
      <c r="B217" s="42"/>
      <c r="C217" s="74" t="s">
        <v>8</v>
      </c>
      <c r="D217" s="74"/>
      <c r="E217" s="118" t="s">
        <v>277</v>
      </c>
      <c r="F217" s="118" t="s">
        <v>277</v>
      </c>
      <c r="G217" s="182" t="s">
        <v>277</v>
      </c>
      <c r="H217" s="118" t="s">
        <v>277</v>
      </c>
      <c r="I217" s="118" t="s">
        <v>277</v>
      </c>
      <c r="J217" s="118" t="s">
        <v>277</v>
      </c>
      <c r="K217" s="118" t="s">
        <v>277</v>
      </c>
      <c r="L217" s="118" t="s">
        <v>277</v>
      </c>
      <c r="M217" s="74"/>
      <c r="N217" s="74"/>
      <c r="O217" s="42"/>
    </row>
    <row r="218" spans="1:15" x14ac:dyDescent="0.2">
      <c r="A218" s="42"/>
      <c r="B218" s="42"/>
      <c r="C218" s="74" t="s">
        <v>279</v>
      </c>
      <c r="D218" s="74"/>
      <c r="E218" s="118"/>
      <c r="F218" s="118" t="s">
        <v>277</v>
      </c>
      <c r="G218" s="182" t="s">
        <v>277</v>
      </c>
      <c r="H218" s="118" t="s">
        <v>277</v>
      </c>
      <c r="I218" s="118" t="s">
        <v>277</v>
      </c>
      <c r="J218" s="118" t="s">
        <v>277</v>
      </c>
      <c r="K218" s="161"/>
      <c r="L218" s="118" t="s">
        <v>277</v>
      </c>
      <c r="M218" s="74"/>
      <c r="N218" s="74"/>
      <c r="O218" s="42"/>
    </row>
    <row r="219" spans="1:15" x14ac:dyDescent="0.2">
      <c r="A219" s="42"/>
      <c r="B219" s="42"/>
      <c r="C219" s="74"/>
      <c r="D219" s="74"/>
      <c r="E219" s="4"/>
      <c r="F219" s="4"/>
      <c r="G219" s="4"/>
      <c r="H219" s="4"/>
      <c r="I219" s="4"/>
      <c r="J219" s="4"/>
      <c r="K219" s="74"/>
      <c r="L219" s="42"/>
      <c r="M219" s="42"/>
      <c r="N219" s="42"/>
      <c r="O219" s="42"/>
    </row>
    <row r="220" spans="1:15" x14ac:dyDescent="0.2">
      <c r="A220" s="42"/>
      <c r="B220" s="42"/>
      <c r="C220" s="422" t="s">
        <v>280</v>
      </c>
      <c r="D220" s="442"/>
      <c r="E220" s="442"/>
      <c r="F220" s="442"/>
      <c r="G220" s="442"/>
      <c r="H220" s="442"/>
      <c r="I220" s="442"/>
      <c r="J220" s="442"/>
      <c r="K220" s="442"/>
      <c r="L220" s="442"/>
      <c r="M220" s="442"/>
      <c r="N220" s="442"/>
      <c r="O220" s="442"/>
    </row>
    <row r="221" spans="1:15" x14ac:dyDescent="0.2">
      <c r="A221" s="42"/>
      <c r="B221" s="42"/>
      <c r="C221" s="442"/>
      <c r="D221" s="442"/>
      <c r="E221" s="442"/>
      <c r="F221" s="442"/>
      <c r="G221" s="442"/>
      <c r="H221" s="442"/>
      <c r="I221" s="442"/>
      <c r="J221" s="442"/>
      <c r="K221" s="442"/>
      <c r="L221" s="442"/>
      <c r="M221" s="442"/>
      <c r="N221" s="442"/>
      <c r="O221" s="442"/>
    </row>
    <row r="222" spans="1:15" x14ac:dyDescent="0.2">
      <c r="A222" s="42"/>
      <c r="B222" s="42"/>
      <c r="C222" s="442"/>
      <c r="D222" s="442"/>
      <c r="E222" s="442"/>
      <c r="F222" s="442"/>
      <c r="G222" s="442"/>
      <c r="H222" s="442"/>
      <c r="I222" s="442"/>
      <c r="J222" s="442"/>
      <c r="K222" s="442"/>
      <c r="L222" s="442"/>
      <c r="M222" s="442"/>
      <c r="N222" s="442"/>
      <c r="O222" s="442"/>
    </row>
    <row r="223" spans="1:15" x14ac:dyDescent="0.2">
      <c r="A223" s="42"/>
      <c r="B223" s="42"/>
      <c r="C223" s="442"/>
      <c r="D223" s="442"/>
      <c r="E223" s="442"/>
      <c r="F223" s="442"/>
      <c r="G223" s="442"/>
      <c r="H223" s="442"/>
      <c r="I223" s="442"/>
      <c r="J223" s="442"/>
      <c r="K223" s="442"/>
      <c r="L223" s="442"/>
      <c r="M223" s="442"/>
      <c r="N223" s="442"/>
      <c r="O223" s="442"/>
    </row>
    <row r="229" spans="1:14" ht="15" x14ac:dyDescent="0.2">
      <c r="A229" s="165"/>
      <c r="B229" s="165"/>
      <c r="C229" s="408" t="s">
        <v>385</v>
      </c>
      <c r="D229" s="420"/>
      <c r="E229" s="420"/>
      <c r="F229" s="420"/>
      <c r="G229" s="420"/>
      <c r="H229" s="420"/>
      <c r="I229" s="420"/>
      <c r="J229" s="420"/>
      <c r="K229" s="420"/>
      <c r="L229" s="420"/>
      <c r="M229" s="399"/>
      <c r="N229" s="399"/>
    </row>
    <row r="230" spans="1:14" ht="15" x14ac:dyDescent="0.2">
      <c r="A230" s="165"/>
      <c r="B230" s="165"/>
      <c r="C230" s="420"/>
      <c r="D230" s="420"/>
      <c r="E230" s="420"/>
      <c r="F230" s="420"/>
      <c r="G230" s="420"/>
      <c r="H230" s="420"/>
      <c r="I230" s="420"/>
      <c r="J230" s="420"/>
      <c r="K230" s="420"/>
      <c r="L230" s="420"/>
      <c r="M230" s="399"/>
      <c r="N230" s="399"/>
    </row>
    <row r="231" spans="1:14" x14ac:dyDescent="0.2">
      <c r="A231" s="74"/>
      <c r="B231" s="74"/>
      <c r="C231" s="31"/>
      <c r="D231" s="74"/>
      <c r="E231" s="74"/>
      <c r="F231" s="74"/>
      <c r="G231" s="74"/>
      <c r="H231" s="74"/>
      <c r="I231" s="74"/>
      <c r="J231" s="74"/>
      <c r="K231" s="74"/>
      <c r="L231" s="74"/>
      <c r="M231" s="74"/>
      <c r="N231" s="74"/>
    </row>
    <row r="232" spans="1:14" x14ac:dyDescent="0.2">
      <c r="A232" s="164"/>
      <c r="B232" s="164"/>
      <c r="C232" s="172"/>
      <c r="D232" s="164"/>
      <c r="E232" s="164"/>
      <c r="F232" s="164"/>
      <c r="G232" s="164"/>
      <c r="H232" s="164"/>
      <c r="I232" s="164"/>
      <c r="J232" s="164"/>
      <c r="K232" s="164"/>
      <c r="L232" s="164"/>
      <c r="M232" s="164"/>
      <c r="N232" s="164"/>
    </row>
    <row r="233" spans="1:14" x14ac:dyDescent="0.2">
      <c r="A233" s="74"/>
      <c r="B233" s="74"/>
      <c r="C233" s="31"/>
      <c r="D233" s="74"/>
      <c r="E233" s="74"/>
      <c r="F233" s="74"/>
      <c r="G233" s="74"/>
      <c r="H233" s="74"/>
      <c r="I233" s="74"/>
      <c r="J233" s="74"/>
      <c r="K233" s="74"/>
      <c r="L233" s="74"/>
      <c r="M233" s="74"/>
      <c r="N233" s="74"/>
    </row>
    <row r="234" spans="1:14" ht="24" x14ac:dyDescent="0.25">
      <c r="A234" s="42"/>
      <c r="B234" s="42"/>
      <c r="C234" s="167" t="s">
        <v>263</v>
      </c>
      <c r="D234" s="163"/>
      <c r="E234" s="171" t="s">
        <v>363</v>
      </c>
      <c r="F234" s="171" t="s">
        <v>364</v>
      </c>
      <c r="G234" s="171" t="s">
        <v>365</v>
      </c>
      <c r="H234" s="171" t="s">
        <v>366</v>
      </c>
      <c r="I234" s="171" t="s">
        <v>367</v>
      </c>
      <c r="J234" s="171" t="s">
        <v>368</v>
      </c>
      <c r="K234" s="171" t="s">
        <v>369</v>
      </c>
      <c r="L234" s="171" t="s">
        <v>370</v>
      </c>
      <c r="M234"/>
      <c r="N234" s="42"/>
    </row>
    <row r="235" spans="1:14" x14ac:dyDescent="0.2">
      <c r="A235" s="42"/>
      <c r="B235" s="42"/>
      <c r="C235" s="80"/>
      <c r="D235" s="42"/>
      <c r="E235" s="42"/>
      <c r="F235" s="42"/>
      <c r="G235" s="42"/>
      <c r="H235" s="42"/>
      <c r="I235" s="42"/>
      <c r="J235" s="74"/>
      <c r="K235" s="3"/>
      <c r="L235" s="3"/>
      <c r="M235" s="57"/>
      <c r="N235" s="42"/>
    </row>
    <row r="236" spans="1:14" x14ac:dyDescent="0.2">
      <c r="A236" s="42"/>
      <c r="B236" s="42"/>
      <c r="C236" s="42"/>
      <c r="D236" s="42"/>
      <c r="E236" s="3" t="s">
        <v>269</v>
      </c>
      <c r="F236" s="42"/>
      <c r="G236" s="42"/>
      <c r="H236" s="42"/>
      <c r="I236" s="42"/>
      <c r="J236" s="74"/>
      <c r="K236" s="3"/>
      <c r="L236" s="3"/>
      <c r="M236" s="57"/>
      <c r="N236" s="42"/>
    </row>
    <row r="237" spans="1:14" x14ac:dyDescent="0.2">
      <c r="A237" s="98"/>
      <c r="B237" s="98"/>
      <c r="C237" s="98" t="s">
        <v>11</v>
      </c>
      <c r="D237" s="98"/>
      <c r="E237" s="99">
        <f>1687155000</f>
        <v>1687155000</v>
      </c>
      <c r="F237" s="99">
        <v>6760879</v>
      </c>
      <c r="G237" s="99">
        <v>5831677</v>
      </c>
      <c r="H237" s="99">
        <v>47880000</v>
      </c>
      <c r="I237" s="99">
        <v>792362</v>
      </c>
      <c r="J237" s="53">
        <f>159103000</f>
        <v>159103000</v>
      </c>
      <c r="K237" s="99">
        <v>38718</v>
      </c>
      <c r="L237" s="99">
        <v>5306000</v>
      </c>
      <c r="M237" s="100"/>
      <c r="N237" s="98"/>
    </row>
    <row r="238" spans="1:14" x14ac:dyDescent="0.2">
      <c r="A238" s="42"/>
      <c r="B238" s="42"/>
      <c r="C238" s="42"/>
      <c r="D238" s="42"/>
      <c r="E238" s="3"/>
      <c r="F238" s="3"/>
      <c r="G238" s="3"/>
      <c r="H238" s="3"/>
      <c r="I238" s="3"/>
      <c r="J238" s="4"/>
      <c r="K238" s="3"/>
      <c r="L238" s="3"/>
      <c r="M238" s="75"/>
      <c r="N238" s="42"/>
    </row>
    <row r="239" spans="1:14" x14ac:dyDescent="0.2">
      <c r="A239" s="42"/>
      <c r="B239" s="42"/>
      <c r="C239" s="42" t="s">
        <v>378</v>
      </c>
      <c r="D239" s="42"/>
      <c r="E239" s="39">
        <f>84347000/E237</f>
        <v>4.9993628326976479E-2</v>
      </c>
      <c r="F239" s="39">
        <f>302129/F237</f>
        <v>4.4687828313448592E-2</v>
      </c>
      <c r="G239" s="19">
        <f>198058/G237</f>
        <v>3.3962443393212624E-2</v>
      </c>
      <c r="H239" s="39">
        <f>3624900/H237</f>
        <v>7.5708020050125308E-2</v>
      </c>
      <c r="I239" s="39">
        <f>158064/I237</f>
        <v>0.19948457901817604</v>
      </c>
      <c r="J239" s="39">
        <f>35895000/J237</f>
        <v>0.22560856803454366</v>
      </c>
      <c r="K239" s="39">
        <f>12351/K237</f>
        <v>0.31899891523322488</v>
      </c>
      <c r="L239" s="19">
        <f>319000/L237</f>
        <v>6.0120618168111574E-2</v>
      </c>
      <c r="M239" s="75"/>
      <c r="N239" s="42"/>
    </row>
    <row r="240" spans="1:14" x14ac:dyDescent="0.2">
      <c r="A240" s="42"/>
      <c r="B240" s="42"/>
      <c r="C240" s="42"/>
      <c r="D240" s="42"/>
      <c r="E240" s="3"/>
      <c r="F240" s="3"/>
      <c r="G240" s="18"/>
      <c r="H240" s="18"/>
      <c r="I240" s="38"/>
      <c r="J240" s="19"/>
      <c r="K240" s="18"/>
      <c r="L240" s="18"/>
      <c r="M240" s="75"/>
      <c r="N240" s="42"/>
    </row>
    <row r="241" spans="1:14" x14ac:dyDescent="0.2">
      <c r="A241" s="101"/>
      <c r="B241" s="101"/>
      <c r="C241" s="101" t="s">
        <v>265</v>
      </c>
      <c r="D241" s="101"/>
      <c r="E241" s="210">
        <f>4028000/E237</f>
        <v>2.3874510640693948E-3</v>
      </c>
      <c r="F241" s="210">
        <v>2.8E-3</v>
      </c>
      <c r="G241" s="210">
        <f>39468/G237</f>
        <v>6.7678645439382184E-3</v>
      </c>
      <c r="H241" s="210">
        <f>1086000/H237</f>
        <v>2.2681704260651629E-2</v>
      </c>
      <c r="I241" s="210">
        <f>17200/I237</f>
        <v>2.170724996907979E-2</v>
      </c>
      <c r="J241" s="210">
        <f>(1707*1000)/J237</f>
        <v>1.0728898889398691E-2</v>
      </c>
      <c r="K241" s="210">
        <f>380/K237</f>
        <v>9.8145565370112084E-3</v>
      </c>
      <c r="L241" s="210">
        <f>151000/L237</f>
        <v>2.8458349038823973E-2</v>
      </c>
      <c r="M241" s="102"/>
      <c r="N241" s="101"/>
    </row>
    <row r="242" spans="1:14" x14ac:dyDescent="0.2">
      <c r="A242" s="42"/>
      <c r="B242" s="42"/>
      <c r="C242" s="42" t="s">
        <v>266</v>
      </c>
      <c r="D242" s="42"/>
      <c r="E242" s="211">
        <f>49037000/E237</f>
        <v>2.9064905121343326E-2</v>
      </c>
      <c r="F242" s="211">
        <v>2.3300000000000001E-2</v>
      </c>
      <c r="G242" s="211">
        <f>121448/G237</f>
        <v>2.0825570414822359E-2</v>
      </c>
      <c r="H242" s="211">
        <f>1758000/H237</f>
        <v>3.6716791979949877E-2</v>
      </c>
      <c r="I242" s="210">
        <f>80510/I237</f>
        <v>0.10160759854712871</v>
      </c>
      <c r="J242" s="211">
        <f>23153000/J237</f>
        <v>0.14552208317882126</v>
      </c>
      <c r="K242" s="211">
        <f>9105/K237</f>
        <v>0.23516194018286068</v>
      </c>
      <c r="L242" s="211">
        <f>106000/L237</f>
        <v>1.9977384093479079E-2</v>
      </c>
      <c r="M242" s="75"/>
      <c r="N242" s="42"/>
    </row>
    <row r="243" spans="1:14" x14ac:dyDescent="0.2">
      <c r="A243" s="42"/>
      <c r="B243" s="42"/>
      <c r="C243" s="42" t="s">
        <v>267</v>
      </c>
      <c r="D243" s="42"/>
      <c r="E243" s="211">
        <f>1395000/E237</f>
        <v>8.2683570863376511E-4</v>
      </c>
      <c r="F243" s="211">
        <v>2.7000000000000001E-3</v>
      </c>
      <c r="G243" s="211">
        <f>5470/G237</f>
        <v>9.3798061861107875E-4</v>
      </c>
      <c r="H243" s="211">
        <f>99100/H237</f>
        <v>2.0697577276524645E-3</v>
      </c>
      <c r="I243" s="210">
        <f>67432/I237</f>
        <v>8.5102516274127224E-2</v>
      </c>
      <c r="J243" s="211">
        <f>2044000/J237</f>
        <v>1.2847023626204409E-2</v>
      </c>
      <c r="K243" s="211">
        <f>1103/K237</f>
        <v>2.8488041737693062E-2</v>
      </c>
      <c r="L243" s="211">
        <f>2400/L237</f>
        <v>4.5231813041839429E-4</v>
      </c>
      <c r="M243" s="75"/>
      <c r="N243" s="42"/>
    </row>
    <row r="244" spans="1:14" x14ac:dyDescent="0.2">
      <c r="A244" s="42"/>
      <c r="B244" s="42"/>
      <c r="C244" s="42"/>
      <c r="D244" s="42"/>
      <c r="E244" s="18"/>
      <c r="F244" s="3"/>
      <c r="G244" s="18"/>
      <c r="H244" s="18"/>
      <c r="I244" s="38"/>
      <c r="J244" s="19"/>
      <c r="K244" s="18"/>
      <c r="L244" s="19"/>
      <c r="M244" s="75"/>
      <c r="N244" s="42"/>
    </row>
    <row r="245" spans="1:14" x14ac:dyDescent="0.2">
      <c r="A245" s="42"/>
      <c r="B245" s="42"/>
      <c r="C245" s="42" t="s">
        <v>7</v>
      </c>
      <c r="D245" s="42"/>
      <c r="E245" s="18">
        <f t="shared" ref="E245:L245" si="0">SUM(E241:E244)</f>
        <v>3.2279191894046488E-2</v>
      </c>
      <c r="F245" s="18">
        <f t="shared" si="0"/>
        <v>2.8800000000000003E-2</v>
      </c>
      <c r="G245" s="18">
        <f t="shared" si="0"/>
        <v>2.8531415577371655E-2</v>
      </c>
      <c r="H245" s="18">
        <f t="shared" si="0"/>
        <v>6.1468253968253971E-2</v>
      </c>
      <c r="I245" s="38">
        <f t="shared" si="0"/>
        <v>0.20841736479033574</v>
      </c>
      <c r="J245" s="18">
        <f t="shared" si="0"/>
        <v>0.16909800569442435</v>
      </c>
      <c r="K245" s="18">
        <f t="shared" si="0"/>
        <v>0.27346453845756497</v>
      </c>
      <c r="L245" s="19">
        <f t="shared" si="0"/>
        <v>4.8888051262721444E-2</v>
      </c>
      <c r="M245" s="75"/>
      <c r="N245" s="42"/>
    </row>
    <row r="246" spans="1:14" x14ac:dyDescent="0.2">
      <c r="A246" s="42"/>
      <c r="B246" s="42"/>
      <c r="C246" s="42"/>
      <c r="D246" s="42"/>
      <c r="E246" s="3"/>
      <c r="F246" s="3"/>
      <c r="G246" s="3"/>
      <c r="H246" s="18"/>
      <c r="I246" s="52"/>
      <c r="J246" s="19"/>
      <c r="K246" s="3"/>
      <c r="L246" s="19"/>
      <c r="M246" s="75"/>
      <c r="N246" s="103"/>
    </row>
    <row r="247" spans="1:14" x14ac:dyDescent="0.2">
      <c r="A247" s="42"/>
      <c r="B247" s="42"/>
      <c r="C247" s="104" t="s">
        <v>268</v>
      </c>
      <c r="D247" s="104"/>
      <c r="E247" s="105">
        <f>23057000/E237</f>
        <v>1.3666201386357508E-2</v>
      </c>
      <c r="F247" s="105">
        <f>125080/F237</f>
        <v>1.8500552960643134E-2</v>
      </c>
      <c r="G247" s="106">
        <f>33765/G237</f>
        <v>5.7899297234740542E-3</v>
      </c>
      <c r="H247" s="105">
        <f>680800/H237</f>
        <v>1.4218880534670008E-2</v>
      </c>
      <c r="I247" s="105">
        <f>-18708/I237</f>
        <v>-2.3610420489624692E-2</v>
      </c>
      <c r="J247" s="105">
        <f>5885000/J237</f>
        <v>3.6988617436503397E-2</v>
      </c>
      <c r="K247" s="105">
        <f>2903/K237</f>
        <v>7.4978046386693531E-2</v>
      </c>
      <c r="L247" s="115">
        <f>53000/L237</f>
        <v>9.9886920467395397E-3</v>
      </c>
      <c r="M247" s="75"/>
      <c r="N247" s="42"/>
    </row>
    <row r="248" spans="1:14" x14ac:dyDescent="0.2">
      <c r="A248" s="42"/>
      <c r="B248" s="42"/>
      <c r="C248" s="107"/>
      <c r="D248" s="107"/>
      <c r="E248" s="108"/>
      <c r="F248" s="109"/>
      <c r="G248" s="110"/>
      <c r="H248" s="20"/>
      <c r="I248" s="111"/>
      <c r="J248" s="83"/>
      <c r="K248" s="110"/>
      <c r="L248" s="19"/>
      <c r="M248" s="75"/>
      <c r="N248" s="42"/>
    </row>
    <row r="249" spans="1:14" x14ac:dyDescent="0.2">
      <c r="A249" s="42"/>
      <c r="B249" s="42"/>
      <c r="C249" s="107" t="s">
        <v>272</v>
      </c>
      <c r="D249" s="107"/>
      <c r="E249" s="119">
        <v>185262000</v>
      </c>
      <c r="F249" s="119">
        <v>946188</v>
      </c>
      <c r="G249" s="119">
        <v>490222</v>
      </c>
      <c r="H249" s="119">
        <v>9063000</v>
      </c>
      <c r="I249" s="119">
        <f>310605</f>
        <v>310605</v>
      </c>
      <c r="J249" s="119">
        <v>20673000</v>
      </c>
      <c r="K249" s="119">
        <v>15885</v>
      </c>
      <c r="L249" s="119">
        <v>1112000</v>
      </c>
      <c r="M249" s="75"/>
      <c r="N249" s="42"/>
    </row>
    <row r="250" spans="1:14" x14ac:dyDescent="0.2">
      <c r="A250" s="42"/>
      <c r="B250" s="42"/>
      <c r="C250" s="42" t="s">
        <v>254</v>
      </c>
      <c r="D250" s="42"/>
      <c r="E250" s="38">
        <f>185262000/E237</f>
        <v>0.10980733838918179</v>
      </c>
      <c r="F250" s="38">
        <f>946188/F237</f>
        <v>0.13995044135533263</v>
      </c>
      <c r="G250" s="38">
        <f>490222/G237</f>
        <v>8.4061925926281589E-2</v>
      </c>
      <c r="H250" s="38">
        <f>9063000/H237</f>
        <v>0.18928571428571428</v>
      </c>
      <c r="I250" s="38">
        <f>310605/I237</f>
        <v>0.39199885910732718</v>
      </c>
      <c r="J250" s="38">
        <f>20673000/J237</f>
        <v>0.12993469639164568</v>
      </c>
      <c r="K250" s="18">
        <f>15885/K237</f>
        <v>0.41027429102742913</v>
      </c>
      <c r="L250" s="19">
        <f>L249/L237</f>
        <v>0.20957406709385601</v>
      </c>
      <c r="M250" s="75"/>
      <c r="N250" s="42"/>
    </row>
    <row r="251" spans="1:14" x14ac:dyDescent="0.2">
      <c r="A251" s="42"/>
      <c r="B251" s="42"/>
      <c r="C251" s="176" t="s">
        <v>294</v>
      </c>
      <c r="D251" s="176"/>
      <c r="E251" s="210">
        <f t="shared" ref="E251:L251" si="1">(E247*E237)/(E237*E250)</f>
        <v>0.12445617557837009</v>
      </c>
      <c r="F251" s="210">
        <f t="shared" si="1"/>
        <v>0.13219360211712686</v>
      </c>
      <c r="G251" s="210">
        <f t="shared" si="1"/>
        <v>6.8876957786472237E-2</v>
      </c>
      <c r="H251" s="210">
        <f t="shared" si="1"/>
        <v>7.5118614145426463E-2</v>
      </c>
      <c r="I251" s="210">
        <f t="shared" si="1"/>
        <v>-6.0230839812623747E-2</v>
      </c>
      <c r="J251" s="210">
        <f t="shared" si="1"/>
        <v>0.28467082668214572</v>
      </c>
      <c r="K251" s="211">
        <f t="shared" si="1"/>
        <v>0.18275102297765186</v>
      </c>
      <c r="L251" s="211">
        <f t="shared" si="1"/>
        <v>4.7661870503597124E-2</v>
      </c>
      <c r="M251" s="75"/>
      <c r="N251" s="42"/>
    </row>
    <row r="252" spans="1:14" x14ac:dyDescent="0.2">
      <c r="A252" s="42"/>
      <c r="B252" s="42"/>
      <c r="C252" s="74"/>
      <c r="D252" s="74"/>
      <c r="E252" s="39"/>
      <c r="F252" s="39"/>
      <c r="G252" s="39"/>
      <c r="H252" s="39"/>
      <c r="I252" s="39"/>
      <c r="J252" s="39"/>
      <c r="K252" s="19"/>
      <c r="L252" s="4"/>
      <c r="M252" s="75"/>
      <c r="N252" s="42"/>
    </row>
    <row r="253" spans="1:14" x14ac:dyDescent="0.2">
      <c r="A253" s="42"/>
      <c r="B253" s="42"/>
      <c r="C253" s="74" t="s">
        <v>6</v>
      </c>
      <c r="D253" s="74"/>
      <c r="E253" s="120">
        <v>824997000</v>
      </c>
      <c r="F253" s="120">
        <v>5074883</v>
      </c>
      <c r="G253" s="120">
        <v>3265738</v>
      </c>
      <c r="H253" s="41">
        <v>19148000</v>
      </c>
      <c r="I253" s="120">
        <f>454303</f>
        <v>454303</v>
      </c>
      <c r="J253" s="120">
        <f>70104000</f>
        <v>70104000</v>
      </c>
      <c r="K253" s="120">
        <v>22745</v>
      </c>
      <c r="L253" s="120">
        <v>3379000</v>
      </c>
      <c r="M253" s="75"/>
      <c r="N253" s="42"/>
    </row>
    <row r="254" spans="1:14" x14ac:dyDescent="0.2">
      <c r="A254" s="42"/>
      <c r="B254" s="42"/>
      <c r="C254" s="74" t="s">
        <v>282</v>
      </c>
      <c r="D254" s="74"/>
      <c r="E254" s="39">
        <f>31658000/E253</f>
        <v>3.8373472873234692E-2</v>
      </c>
      <c r="F254" s="39">
        <f>57897/F253</f>
        <v>1.1408538876659817E-2</v>
      </c>
      <c r="G254" s="39">
        <f>39314/G253</f>
        <v>1.2038320281663746E-2</v>
      </c>
      <c r="H254" s="19">
        <f>30300/H253</f>
        <v>1.5824106956340088E-3</v>
      </c>
      <c r="I254" s="39">
        <f>59874/I253</f>
        <v>0.13179309843870721</v>
      </c>
      <c r="J254" s="39">
        <f>1308000/J253</f>
        <v>1.8657993837726806E-2</v>
      </c>
      <c r="K254" s="19">
        <f>408/K253</f>
        <v>1.7938008353484282E-2</v>
      </c>
      <c r="L254" s="19">
        <f>18000/L237</f>
        <v>3.3923859781379568E-3</v>
      </c>
      <c r="M254" s="75"/>
      <c r="N254" s="42"/>
    </row>
    <row r="255" spans="1:14" x14ac:dyDescent="0.2">
      <c r="A255" s="42"/>
      <c r="B255" s="42"/>
      <c r="C255" s="74"/>
      <c r="D255" s="74"/>
      <c r="E255" s="39"/>
      <c r="F255" s="39"/>
      <c r="G255" s="39"/>
      <c r="H255" s="39"/>
      <c r="I255" s="39"/>
      <c r="J255" s="39"/>
      <c r="K255" s="19"/>
      <c r="L255" s="4"/>
      <c r="M255" s="75"/>
      <c r="N255" s="42"/>
    </row>
    <row r="256" spans="1:14" ht="33.75" x14ac:dyDescent="0.2">
      <c r="A256" s="42"/>
      <c r="B256" s="42"/>
      <c r="C256" s="225" t="s">
        <v>281</v>
      </c>
      <c r="D256" s="226"/>
      <c r="E256" s="227"/>
      <c r="F256" s="226"/>
      <c r="G256" s="227"/>
      <c r="H256" s="227"/>
      <c r="I256" s="228" t="s">
        <v>275</v>
      </c>
      <c r="J256" s="229"/>
      <c r="K256" s="228" t="s">
        <v>289</v>
      </c>
      <c r="L256" s="121"/>
      <c r="M256" s="57"/>
      <c r="N256" s="42"/>
    </row>
    <row r="257" spans="1:15" x14ac:dyDescent="0.2">
      <c r="A257" s="42"/>
      <c r="B257" s="42"/>
      <c r="C257" s="42"/>
      <c r="D257" s="42"/>
      <c r="E257" s="42"/>
      <c r="F257" s="42"/>
      <c r="G257" s="42"/>
      <c r="H257" s="42"/>
      <c r="I257" s="42"/>
      <c r="J257" s="42"/>
      <c r="K257" s="42"/>
      <c r="L257" s="42"/>
      <c r="M257" s="42"/>
      <c r="N257" s="42"/>
    </row>
    <row r="260" spans="1:15" x14ac:dyDescent="0.2">
      <c r="A260" s="165"/>
      <c r="B260" s="165"/>
      <c r="C260" s="408" t="s">
        <v>381</v>
      </c>
      <c r="D260" s="408"/>
      <c r="E260" s="408"/>
      <c r="F260" s="408"/>
      <c r="G260" s="408"/>
      <c r="H260" s="408"/>
      <c r="I260" s="408"/>
      <c r="J260" s="408"/>
      <c r="K260" s="408"/>
      <c r="L260" s="408"/>
      <c r="M260" s="408"/>
      <c r="N260" s="408"/>
      <c r="O260" s="408"/>
    </row>
    <row r="261" spans="1:15" x14ac:dyDescent="0.2">
      <c r="A261" s="165"/>
      <c r="B261" s="165"/>
      <c r="C261" s="408"/>
      <c r="D261" s="408"/>
      <c r="E261" s="408"/>
      <c r="F261" s="408"/>
      <c r="G261" s="408"/>
      <c r="H261" s="408"/>
      <c r="I261" s="408"/>
      <c r="J261" s="408"/>
      <c r="K261" s="408"/>
      <c r="L261" s="408"/>
      <c r="M261" s="408"/>
      <c r="N261" s="408"/>
      <c r="O261" s="408"/>
    </row>
    <row r="262" spans="1:15" x14ac:dyDescent="0.2">
      <c r="A262" s="42"/>
      <c r="B262" s="42"/>
      <c r="C262" s="74"/>
      <c r="D262" s="42"/>
      <c r="E262" s="42"/>
      <c r="F262" s="42"/>
      <c r="G262" s="42"/>
      <c r="H262" s="42"/>
      <c r="I262" s="42"/>
      <c r="J262" s="42"/>
      <c r="K262" s="42"/>
      <c r="L262" s="74"/>
      <c r="M262" s="3"/>
      <c r="N262" s="3"/>
      <c r="O262" s="4"/>
    </row>
    <row r="263" spans="1:15" x14ac:dyDescent="0.2">
      <c r="A263" s="164"/>
      <c r="B263" s="164"/>
      <c r="C263" s="164"/>
      <c r="D263" s="164"/>
      <c r="E263" s="164"/>
      <c r="F263" s="164"/>
      <c r="G263" s="164"/>
      <c r="H263" s="164"/>
      <c r="I263" s="164"/>
      <c r="J263" s="164"/>
      <c r="K263" s="164"/>
      <c r="L263" s="164"/>
      <c r="M263" s="173"/>
      <c r="N263" s="173"/>
      <c r="O263" s="173"/>
    </row>
    <row r="264" spans="1:15" x14ac:dyDescent="0.2">
      <c r="A264" s="42"/>
      <c r="B264" s="42"/>
      <c r="C264" s="74"/>
      <c r="D264" s="42"/>
      <c r="E264" s="42"/>
      <c r="F264" s="42"/>
      <c r="G264" s="42"/>
      <c r="H264" s="42"/>
      <c r="I264" s="42"/>
      <c r="J264" s="42"/>
      <c r="K264" s="42"/>
      <c r="L264" s="74"/>
      <c r="M264" s="3"/>
      <c r="N264" s="3"/>
      <c r="O264" s="4"/>
    </row>
    <row r="265" spans="1:15" ht="15" x14ac:dyDescent="0.2">
      <c r="A265" s="42"/>
      <c r="B265" s="42"/>
      <c r="C265" s="427" t="s">
        <v>290</v>
      </c>
      <c r="D265" s="428"/>
      <c r="E265" s="428"/>
      <c r="F265" s="428"/>
      <c r="G265" s="428"/>
      <c r="H265" s="428"/>
      <c r="I265" s="428"/>
      <c r="J265" s="428"/>
      <c r="K265" s="428"/>
      <c r="L265" s="77"/>
      <c r="M265" s="77"/>
      <c r="N265" s="77"/>
      <c r="O265" s="81"/>
    </row>
    <row r="266" spans="1:15" ht="15" x14ac:dyDescent="0.2">
      <c r="A266" s="42"/>
      <c r="B266" s="42"/>
      <c r="C266" s="113"/>
      <c r="D266" s="112"/>
      <c r="E266" s="84"/>
      <c r="F266" s="84"/>
      <c r="G266" s="84"/>
      <c r="H266" s="175"/>
      <c r="I266" s="175"/>
      <c r="J266" s="84"/>
      <c r="K266" s="84"/>
      <c r="L266" s="84"/>
      <c r="M266" s="84"/>
      <c r="N266" s="84"/>
      <c r="O266" s="91"/>
    </row>
    <row r="267" spans="1:15" x14ac:dyDescent="0.2">
      <c r="A267" s="42"/>
      <c r="B267" s="42"/>
      <c r="C267" s="418" t="s">
        <v>291</v>
      </c>
      <c r="D267" s="424"/>
      <c r="E267" s="424"/>
      <c r="F267" s="424"/>
      <c r="G267" s="424"/>
      <c r="H267" s="424"/>
      <c r="I267" s="424"/>
      <c r="J267" s="424"/>
      <c r="K267" s="424"/>
      <c r="L267" s="424"/>
      <c r="M267" s="424"/>
      <c r="N267" s="424"/>
      <c r="O267" s="424"/>
    </row>
    <row r="268" spans="1:15" x14ac:dyDescent="0.2">
      <c r="A268" s="42"/>
      <c r="B268" s="42"/>
      <c r="C268" s="418"/>
      <c r="D268" s="424"/>
      <c r="E268" s="424"/>
      <c r="F268" s="424"/>
      <c r="G268" s="424"/>
      <c r="H268" s="424"/>
      <c r="I268" s="424"/>
      <c r="J268" s="424"/>
      <c r="K268" s="424"/>
      <c r="L268" s="424"/>
      <c r="M268" s="424"/>
      <c r="N268" s="424"/>
      <c r="O268" s="424"/>
    </row>
    <row r="269" spans="1:15" x14ac:dyDescent="0.2">
      <c r="A269" s="42"/>
      <c r="B269" s="42"/>
      <c r="C269" s="424"/>
      <c r="D269" s="424"/>
      <c r="E269" s="424"/>
      <c r="F269" s="424"/>
      <c r="G269" s="424"/>
      <c r="H269" s="424"/>
      <c r="I269" s="424"/>
      <c r="J269" s="424"/>
      <c r="K269" s="424"/>
      <c r="L269" s="424"/>
      <c r="M269" s="424"/>
      <c r="N269" s="424"/>
      <c r="O269" s="424"/>
    </row>
    <row r="270" spans="1:15" x14ac:dyDescent="0.2">
      <c r="A270" s="42"/>
      <c r="B270" s="42"/>
      <c r="C270" s="424"/>
      <c r="D270" s="424"/>
      <c r="E270" s="424"/>
      <c r="F270" s="424"/>
      <c r="G270" s="424"/>
      <c r="H270" s="424"/>
      <c r="I270" s="424"/>
      <c r="J270" s="424"/>
      <c r="K270" s="424"/>
      <c r="L270" s="424"/>
      <c r="M270" s="424"/>
      <c r="N270" s="424"/>
      <c r="O270" s="424"/>
    </row>
    <row r="271" spans="1:15" ht="15" x14ac:dyDescent="0.2">
      <c r="A271" s="42"/>
      <c r="B271" s="42"/>
      <c r="C271" s="87"/>
      <c r="D271" s="87"/>
      <c r="E271" s="87"/>
      <c r="F271" s="87"/>
      <c r="G271" s="87"/>
      <c r="H271" s="179"/>
      <c r="I271" s="179"/>
      <c r="J271" s="87"/>
      <c r="K271" s="87"/>
      <c r="L271" s="87"/>
      <c r="M271" s="87"/>
      <c r="N271" s="87"/>
      <c r="O271" s="82"/>
    </row>
    <row r="272" spans="1:15" ht="15" x14ac:dyDescent="0.2">
      <c r="A272" s="42"/>
      <c r="B272" s="42"/>
      <c r="C272" s="72" t="s">
        <v>288</v>
      </c>
      <c r="D272" s="73"/>
      <c r="E272" s="122" t="s">
        <v>377</v>
      </c>
      <c r="F272" s="67"/>
      <c r="G272" s="92" t="s">
        <v>187</v>
      </c>
      <c r="H272" s="143"/>
      <c r="I272" s="143"/>
      <c r="J272" s="67"/>
      <c r="K272" s="67"/>
      <c r="L272" s="67"/>
      <c r="M272" s="67"/>
      <c r="N272" s="67"/>
      <c r="O272" s="67"/>
    </row>
    <row r="273" spans="1:15" ht="15" x14ac:dyDescent="0.2">
      <c r="A273" s="42"/>
      <c r="B273" s="42"/>
      <c r="C273" s="74"/>
      <c r="D273" s="42"/>
      <c r="E273" s="42"/>
      <c r="F273" s="87"/>
      <c r="G273" s="86"/>
      <c r="H273" s="174"/>
      <c r="I273" s="174"/>
      <c r="J273" s="87"/>
      <c r="K273" s="87"/>
      <c r="L273" s="87"/>
      <c r="M273" s="87"/>
      <c r="N273" s="87"/>
      <c r="O273" s="82"/>
    </row>
    <row r="274" spans="1:15" x14ac:dyDescent="0.2">
      <c r="A274" s="42"/>
      <c r="B274" s="42"/>
      <c r="C274" s="418" t="s">
        <v>376</v>
      </c>
      <c r="D274" s="424"/>
      <c r="E274" s="424"/>
      <c r="F274" s="424"/>
      <c r="G274" s="424"/>
      <c r="H274" s="424"/>
      <c r="I274" s="424"/>
      <c r="J274" s="424"/>
      <c r="K274" s="424"/>
      <c r="L274" s="424"/>
      <c r="M274" s="424"/>
      <c r="N274" s="424"/>
      <c r="O274" s="424"/>
    </row>
    <row r="275" spans="1:15" x14ac:dyDescent="0.2">
      <c r="A275" s="42"/>
      <c r="B275" s="42"/>
      <c r="C275" s="418"/>
      <c r="D275" s="424"/>
      <c r="E275" s="424"/>
      <c r="F275" s="424"/>
      <c r="G275" s="424"/>
      <c r="H275" s="424"/>
      <c r="I275" s="424"/>
      <c r="J275" s="424"/>
      <c r="K275" s="424"/>
      <c r="L275" s="424"/>
      <c r="M275" s="424"/>
      <c r="N275" s="424"/>
      <c r="O275" s="424"/>
    </row>
    <row r="276" spans="1:15" x14ac:dyDescent="0.2">
      <c r="A276" s="42"/>
      <c r="B276" s="42"/>
      <c r="C276" s="424"/>
      <c r="D276" s="424"/>
      <c r="E276" s="424"/>
      <c r="F276" s="424"/>
      <c r="G276" s="424"/>
      <c r="H276" s="424"/>
      <c r="I276" s="424"/>
      <c r="J276" s="424"/>
      <c r="K276" s="424"/>
      <c r="L276" s="424"/>
      <c r="M276" s="424"/>
      <c r="N276" s="424"/>
      <c r="O276" s="424"/>
    </row>
    <row r="277" spans="1:15" x14ac:dyDescent="0.2">
      <c r="A277" s="42"/>
      <c r="B277" s="42"/>
      <c r="C277" s="424"/>
      <c r="D277" s="424"/>
      <c r="E277" s="424"/>
      <c r="F277" s="424"/>
      <c r="G277" s="424"/>
      <c r="H277" s="424"/>
      <c r="I277" s="424"/>
      <c r="J277" s="424"/>
      <c r="K277" s="424"/>
      <c r="L277" s="424"/>
      <c r="M277" s="424"/>
      <c r="N277" s="424"/>
      <c r="O277" s="424"/>
    </row>
    <row r="278" spans="1:15" ht="15" x14ac:dyDescent="0.2">
      <c r="A278" s="74"/>
      <c r="B278" s="74"/>
      <c r="C278" s="82"/>
      <c r="D278" s="82"/>
      <c r="E278" s="82"/>
      <c r="F278" s="82"/>
      <c r="G278" s="82"/>
      <c r="H278" s="180"/>
      <c r="I278" s="180"/>
      <c r="J278" s="82"/>
      <c r="K278" s="82"/>
      <c r="L278" s="82"/>
      <c r="M278" s="82"/>
      <c r="N278" s="82"/>
      <c r="O278" s="82"/>
    </row>
    <row r="279" spans="1:15" ht="15" x14ac:dyDescent="0.2">
      <c r="A279" s="42"/>
      <c r="B279" s="42"/>
      <c r="C279" s="114" t="s">
        <v>283</v>
      </c>
      <c r="D279" s="114"/>
      <c r="E279" s="99">
        <v>47880000</v>
      </c>
      <c r="F279" s="87"/>
      <c r="G279" s="90">
        <v>500000</v>
      </c>
      <c r="H279" s="97"/>
      <c r="I279" s="97"/>
      <c r="J279" s="86"/>
      <c r="K279" s="86"/>
      <c r="L279" s="86"/>
      <c r="M279" s="86"/>
      <c r="N279" s="86"/>
      <c r="O279" s="88"/>
    </row>
    <row r="280" spans="1:15" ht="15" x14ac:dyDescent="0.2">
      <c r="A280" s="42"/>
      <c r="B280" s="42"/>
      <c r="C280" s="42"/>
      <c r="D280" s="42"/>
      <c r="E280" s="3"/>
      <c r="F280" s="87"/>
      <c r="G280" s="89"/>
      <c r="H280" s="86"/>
      <c r="I280" s="86"/>
      <c r="J280" s="86"/>
      <c r="K280" s="86"/>
      <c r="L280" s="86"/>
      <c r="M280" s="88"/>
    </row>
    <row r="281" spans="1:15" ht="15" x14ac:dyDescent="0.2">
      <c r="A281" s="42"/>
      <c r="B281" s="42"/>
      <c r="C281" s="42" t="s">
        <v>264</v>
      </c>
      <c r="D281" s="42"/>
      <c r="E281" s="18">
        <v>7.4999999999999997E-2</v>
      </c>
      <c r="F281" s="87"/>
      <c r="G281" s="23">
        <v>0.09</v>
      </c>
      <c r="H281" s="425" t="s">
        <v>287</v>
      </c>
      <c r="I281" s="426"/>
      <c r="J281" s="426"/>
      <c r="K281" s="426"/>
      <c r="L281" s="426"/>
      <c r="M281" s="426"/>
    </row>
    <row r="282" spans="1:15" ht="15" x14ac:dyDescent="0.2">
      <c r="A282" s="42"/>
      <c r="B282" s="42"/>
      <c r="C282" s="42"/>
      <c r="D282" s="42"/>
      <c r="E282" s="3"/>
      <c r="F282" s="87"/>
      <c r="G282" s="23"/>
      <c r="H282" s="86"/>
      <c r="I282" s="86"/>
      <c r="J282" s="86"/>
      <c r="K282" s="86"/>
      <c r="L282" s="86"/>
      <c r="M282" s="88"/>
    </row>
    <row r="283" spans="1:15" ht="15" x14ac:dyDescent="0.2">
      <c r="A283" s="42"/>
      <c r="B283" s="42"/>
      <c r="C283" s="42" t="s">
        <v>265</v>
      </c>
      <c r="D283" s="42"/>
      <c r="E283" s="18">
        <v>2.2200000000000001E-2</v>
      </c>
      <c r="F283" s="87"/>
      <c r="G283" s="23">
        <f>E283</f>
        <v>2.2200000000000001E-2</v>
      </c>
      <c r="H283" s="425" t="s">
        <v>284</v>
      </c>
      <c r="I283" s="426"/>
      <c r="J283" s="426"/>
      <c r="K283" s="426"/>
      <c r="L283" s="426"/>
      <c r="M283" s="426"/>
    </row>
    <row r="284" spans="1:15" ht="15" x14ac:dyDescent="0.2">
      <c r="A284" s="42"/>
      <c r="B284" s="42"/>
      <c r="C284" s="42" t="s">
        <v>266</v>
      </c>
      <c r="D284" s="42"/>
      <c r="E284" s="18">
        <v>3.6700000000000003E-2</v>
      </c>
      <c r="F284" s="87"/>
      <c r="G284" s="23">
        <v>0.04</v>
      </c>
      <c r="H284" s="425" t="s">
        <v>188</v>
      </c>
      <c r="I284" s="426"/>
      <c r="J284" s="426"/>
      <c r="K284" s="426"/>
      <c r="L284" s="426"/>
      <c r="M284" s="426"/>
    </row>
    <row r="285" spans="1:15" ht="15" x14ac:dyDescent="0.2">
      <c r="A285" s="42"/>
      <c r="B285" s="42"/>
      <c r="C285" s="42" t="s">
        <v>267</v>
      </c>
      <c r="D285" s="42"/>
      <c r="E285" s="18">
        <v>2.0999999999999999E-3</v>
      </c>
      <c r="F285" s="87"/>
      <c r="G285" s="23">
        <v>1.72E-2</v>
      </c>
      <c r="H285" s="425" t="s">
        <v>189</v>
      </c>
      <c r="I285" s="426"/>
      <c r="J285" s="426"/>
      <c r="K285" s="426"/>
      <c r="L285" s="426"/>
      <c r="M285" s="426"/>
    </row>
    <row r="286" spans="1:15" ht="15" x14ac:dyDescent="0.2">
      <c r="A286" s="42"/>
      <c r="B286" s="42"/>
      <c r="C286" s="42"/>
      <c r="D286" s="42"/>
      <c r="E286" s="18"/>
      <c r="F286" s="87"/>
      <c r="G286" s="23"/>
      <c r="H286" s="86"/>
      <c r="I286" s="86"/>
      <c r="J286" s="86"/>
      <c r="K286" s="86"/>
      <c r="L286" s="86"/>
      <c r="M286" s="88"/>
    </row>
    <row r="287" spans="1:15" ht="15" x14ac:dyDescent="0.2">
      <c r="A287" s="42"/>
      <c r="B287" s="42"/>
      <c r="C287" s="42" t="s">
        <v>7</v>
      </c>
      <c r="D287" s="42"/>
      <c r="E287" s="18">
        <f>SUM(E283:E286)</f>
        <v>6.1000000000000006E-2</v>
      </c>
      <c r="F287" s="87"/>
      <c r="G287" s="23">
        <f>SUM(G283:G286)</f>
        <v>7.9399999999999998E-2</v>
      </c>
      <c r="H287" s="23"/>
      <c r="I287" s="23"/>
      <c r="J287" s="86"/>
      <c r="K287" s="86"/>
      <c r="L287" s="86"/>
      <c r="M287" s="86"/>
      <c r="N287" s="86"/>
      <c r="O287" s="88"/>
    </row>
    <row r="288" spans="1:15" ht="15" x14ac:dyDescent="0.2">
      <c r="A288" s="42"/>
      <c r="B288" s="42"/>
      <c r="C288" s="42"/>
      <c r="D288" s="42"/>
      <c r="E288" s="18"/>
      <c r="F288" s="87"/>
      <c r="G288" s="23"/>
      <c r="H288" s="23"/>
      <c r="I288" s="23"/>
      <c r="J288" s="86"/>
      <c r="K288" s="86"/>
      <c r="L288" s="86"/>
      <c r="M288" s="86"/>
      <c r="N288" s="86"/>
      <c r="O288" s="88"/>
    </row>
    <row r="289" spans="1:15" ht="15" x14ac:dyDescent="0.2">
      <c r="A289" s="42"/>
      <c r="B289" s="42"/>
      <c r="C289" s="104" t="s">
        <v>268</v>
      </c>
      <c r="D289" s="104"/>
      <c r="E289" s="22">
        <v>2.3599999999999999E-2</v>
      </c>
      <c r="F289" s="66"/>
      <c r="G289" s="68">
        <f>G281-G287</f>
        <v>1.0599999999999998E-2</v>
      </c>
      <c r="H289" s="68"/>
      <c r="I289" s="68"/>
      <c r="J289" s="85"/>
      <c r="K289" s="85"/>
      <c r="L289" s="85"/>
      <c r="M289" s="85"/>
      <c r="N289" s="85"/>
      <c r="O289" s="93"/>
    </row>
    <row r="290" spans="1:15" ht="15" x14ac:dyDescent="0.2">
      <c r="A290" s="42"/>
      <c r="B290" s="42"/>
      <c r="C290" s="107"/>
      <c r="D290" s="107"/>
      <c r="E290" s="110"/>
      <c r="F290" s="87"/>
      <c r="G290" s="23"/>
      <c r="H290" s="23"/>
      <c r="I290" s="23"/>
      <c r="J290" s="86"/>
      <c r="K290" s="86"/>
      <c r="L290" s="86"/>
      <c r="M290" s="86"/>
      <c r="N290" s="86"/>
      <c r="O290" s="88"/>
    </row>
    <row r="291" spans="1:15" ht="15" x14ac:dyDescent="0.2">
      <c r="A291" s="42"/>
      <c r="B291" s="42"/>
      <c r="C291" s="42" t="s">
        <v>272</v>
      </c>
      <c r="D291" s="42"/>
      <c r="E291" s="40">
        <v>9063000</v>
      </c>
      <c r="F291" s="87"/>
      <c r="G291" s="97">
        <f>E291</f>
        <v>9063000</v>
      </c>
      <c r="H291" s="97"/>
      <c r="I291" s="97"/>
      <c r="J291" s="86"/>
      <c r="K291" s="86"/>
      <c r="L291" s="86"/>
      <c r="M291" s="86"/>
      <c r="N291" s="86"/>
      <c r="O291" s="88"/>
    </row>
    <row r="292" spans="1:15" ht="15" x14ac:dyDescent="0.2">
      <c r="A292" s="42"/>
      <c r="B292" s="42"/>
      <c r="C292" s="42" t="s">
        <v>285</v>
      </c>
      <c r="D292" s="42"/>
      <c r="E292" s="18">
        <v>0.1893</v>
      </c>
      <c r="F292" s="94"/>
      <c r="G292" s="97">
        <f>G279*E292</f>
        <v>94650</v>
      </c>
      <c r="H292" s="97"/>
      <c r="I292" s="97"/>
      <c r="J292" s="96"/>
      <c r="K292" s="96"/>
      <c r="L292" s="96"/>
      <c r="M292" s="96"/>
      <c r="N292" s="96"/>
      <c r="O292" s="95"/>
    </row>
    <row r="293" spans="1:15" ht="15" x14ac:dyDescent="0.2">
      <c r="A293" s="42"/>
      <c r="B293" s="42"/>
      <c r="C293" s="78" t="s">
        <v>8</v>
      </c>
      <c r="D293" s="78"/>
      <c r="E293" s="22">
        <v>0.12470000000000001</v>
      </c>
      <c r="F293" s="66"/>
      <c r="G293" s="69">
        <f>(G279*G289)/G292</f>
        <v>5.5995773903856301E-2</v>
      </c>
      <c r="H293" s="440" t="s">
        <v>286</v>
      </c>
      <c r="I293" s="426"/>
      <c r="J293" s="426"/>
      <c r="K293" s="426"/>
      <c r="L293" s="426"/>
      <c r="M293" s="426"/>
    </row>
    <row r="294" spans="1:15" ht="15" x14ac:dyDescent="0.2">
      <c r="A294" s="42"/>
      <c r="B294" s="42"/>
      <c r="C294" s="87"/>
      <c r="D294" s="87"/>
      <c r="E294" s="87"/>
      <c r="F294" s="87"/>
      <c r="G294" s="87"/>
      <c r="H294" s="179"/>
      <c r="I294" s="179"/>
      <c r="J294" s="84"/>
      <c r="K294" s="84"/>
      <c r="L294" s="84"/>
      <c r="M294" s="84"/>
      <c r="N294" s="84"/>
      <c r="O294" s="91"/>
    </row>
    <row r="295" spans="1:15" x14ac:dyDescent="0.2">
      <c r="A295" s="42"/>
      <c r="B295" s="42"/>
      <c r="C295" s="418" t="s">
        <v>292</v>
      </c>
      <c r="D295" s="426"/>
      <c r="E295" s="426"/>
      <c r="F295" s="426"/>
      <c r="G295" s="426"/>
      <c r="H295" s="426"/>
      <c r="I295" s="426"/>
      <c r="J295" s="426"/>
      <c r="K295" s="426"/>
      <c r="L295" s="426"/>
      <c r="M295" s="426"/>
      <c r="N295" s="426"/>
      <c r="O295" s="426"/>
    </row>
    <row r="296" spans="1:15" x14ac:dyDescent="0.2">
      <c r="A296" s="42"/>
      <c r="B296" s="42"/>
      <c r="C296" s="426"/>
      <c r="D296" s="426"/>
      <c r="E296" s="426"/>
      <c r="F296" s="426"/>
      <c r="G296" s="426"/>
      <c r="H296" s="426"/>
      <c r="I296" s="426"/>
      <c r="J296" s="426"/>
      <c r="K296" s="426"/>
      <c r="L296" s="426"/>
      <c r="M296" s="426"/>
      <c r="N296" s="426"/>
      <c r="O296" s="426"/>
    </row>
    <row r="297" spans="1:15" x14ac:dyDescent="0.2">
      <c r="A297" s="42"/>
      <c r="B297" s="42"/>
      <c r="C297" s="426"/>
      <c r="D297" s="426"/>
      <c r="E297" s="426"/>
      <c r="F297" s="426"/>
      <c r="G297" s="426"/>
      <c r="H297" s="426"/>
      <c r="I297" s="426"/>
      <c r="J297" s="426"/>
      <c r="K297" s="426"/>
      <c r="L297" s="426"/>
      <c r="M297" s="426"/>
      <c r="N297" s="426"/>
      <c r="O297" s="426"/>
    </row>
    <row r="298" spans="1:15" x14ac:dyDescent="0.2">
      <c r="A298" s="42"/>
      <c r="B298" s="42"/>
      <c r="C298" s="426"/>
      <c r="D298" s="426"/>
      <c r="E298" s="426"/>
      <c r="F298" s="426"/>
      <c r="G298" s="426"/>
      <c r="H298" s="426"/>
      <c r="I298" s="426"/>
      <c r="J298" s="426"/>
      <c r="K298" s="426"/>
      <c r="L298" s="426"/>
      <c r="M298" s="426"/>
      <c r="N298" s="426"/>
      <c r="O298" s="426"/>
    </row>
    <row r="299" spans="1:15" x14ac:dyDescent="0.2">
      <c r="A299" s="42"/>
      <c r="B299" s="42"/>
      <c r="C299" s="426"/>
      <c r="D299" s="426"/>
      <c r="E299" s="426"/>
      <c r="F299" s="426"/>
      <c r="G299" s="426"/>
      <c r="H299" s="426"/>
      <c r="I299" s="426"/>
      <c r="J299" s="426"/>
      <c r="K299" s="426"/>
      <c r="L299" s="426"/>
      <c r="M299" s="426"/>
      <c r="N299" s="426"/>
      <c r="O299" s="426"/>
    </row>
    <row r="300" spans="1:15" x14ac:dyDescent="0.2">
      <c r="A300" s="42"/>
      <c r="B300" s="42"/>
      <c r="C300" s="426"/>
      <c r="D300" s="426"/>
      <c r="E300" s="426"/>
      <c r="F300" s="426"/>
      <c r="G300" s="426"/>
      <c r="H300" s="426"/>
      <c r="I300" s="426"/>
      <c r="J300" s="426"/>
      <c r="K300" s="426"/>
      <c r="L300" s="426"/>
      <c r="M300" s="426"/>
      <c r="N300" s="426"/>
      <c r="O300" s="426"/>
    </row>
    <row r="301" spans="1:15" ht="15" x14ac:dyDescent="0.2">
      <c r="A301" s="42"/>
      <c r="B301" s="42"/>
      <c r="C301" s="117"/>
      <c r="D301" s="117"/>
      <c r="E301" s="117"/>
      <c r="F301" s="117"/>
      <c r="G301" s="117"/>
      <c r="H301" s="175"/>
      <c r="I301" s="175"/>
      <c r="J301" s="117"/>
      <c r="K301" s="117"/>
      <c r="L301" s="117"/>
      <c r="M301" s="117"/>
      <c r="N301" s="117"/>
      <c r="O301" s="117"/>
    </row>
    <row r="302" spans="1:15" x14ac:dyDescent="0.2">
      <c r="A302" s="42"/>
      <c r="B302" s="42"/>
      <c r="C302" s="418" t="s">
        <v>293</v>
      </c>
      <c r="D302" s="425"/>
      <c r="E302" s="425"/>
      <c r="F302" s="425"/>
      <c r="G302" s="425"/>
      <c r="H302" s="425"/>
      <c r="I302" s="425"/>
      <c r="J302" s="425"/>
      <c r="K302" s="425"/>
      <c r="L302" s="425"/>
      <c r="M302" s="425"/>
      <c r="N302" s="425"/>
      <c r="O302" s="425"/>
    </row>
    <row r="303" spans="1:15" x14ac:dyDescent="0.2">
      <c r="A303" s="42"/>
      <c r="B303" s="42"/>
      <c r="C303" s="418"/>
      <c r="D303" s="425"/>
      <c r="E303" s="425"/>
      <c r="F303" s="425"/>
      <c r="G303" s="425"/>
      <c r="H303" s="425"/>
      <c r="I303" s="425"/>
      <c r="J303" s="425"/>
      <c r="K303" s="425"/>
      <c r="L303" s="425"/>
      <c r="M303" s="425"/>
      <c r="N303" s="425"/>
      <c r="O303" s="425"/>
    </row>
    <row r="304" spans="1:15" x14ac:dyDescent="0.2">
      <c r="A304" s="42"/>
      <c r="B304" s="42"/>
      <c r="C304" s="425"/>
      <c r="D304" s="425"/>
      <c r="E304" s="425"/>
      <c r="F304" s="425"/>
      <c r="G304" s="425"/>
      <c r="H304" s="425"/>
      <c r="I304" s="425"/>
      <c r="J304" s="425"/>
      <c r="K304" s="425"/>
      <c r="L304" s="425"/>
      <c r="M304" s="425"/>
      <c r="N304" s="425"/>
      <c r="O304" s="425"/>
    </row>
    <row r="305" spans="1:15" x14ac:dyDescent="0.2">
      <c r="A305" s="42"/>
      <c r="B305" s="42"/>
      <c r="C305" s="425"/>
      <c r="D305" s="425"/>
      <c r="E305" s="425"/>
      <c r="F305" s="425"/>
      <c r="G305" s="425"/>
      <c r="H305" s="425"/>
      <c r="I305" s="425"/>
      <c r="J305" s="425"/>
      <c r="K305" s="425"/>
      <c r="L305" s="425"/>
      <c r="M305" s="425"/>
      <c r="N305" s="425"/>
      <c r="O305" s="425"/>
    </row>
    <row r="308" spans="1:15" ht="15" x14ac:dyDescent="0.25">
      <c r="A308" s="185"/>
      <c r="B308" s="190"/>
      <c r="C308" s="421" t="s">
        <v>391</v>
      </c>
      <c r="D308" s="420"/>
      <c r="E308" s="420"/>
      <c r="F308" s="420"/>
      <c r="G308" s="420"/>
      <c r="H308" s="420"/>
    </row>
    <row r="309" spans="1:15" ht="15" x14ac:dyDescent="0.25">
      <c r="A309" s="190"/>
      <c r="B309" s="190"/>
      <c r="C309" s="420"/>
      <c r="D309" s="420"/>
      <c r="E309" s="420"/>
      <c r="F309" s="420"/>
      <c r="G309" s="420"/>
      <c r="H309" s="420"/>
    </row>
    <row r="310" spans="1:15" x14ac:dyDescent="0.2">
      <c r="A310" s="24"/>
      <c r="B310" s="24"/>
      <c r="C310" s="158"/>
      <c r="D310" s="158"/>
      <c r="E310" s="158"/>
      <c r="F310" s="158"/>
      <c r="G310" s="158"/>
      <c r="H310" s="158"/>
    </row>
    <row r="311" spans="1:15" x14ac:dyDescent="0.2">
      <c r="A311" s="152"/>
      <c r="B311" s="152"/>
      <c r="C311" s="157"/>
      <c r="D311" s="157"/>
      <c r="E311" s="157"/>
      <c r="F311" s="157"/>
      <c r="G311" s="157"/>
      <c r="H311" s="157"/>
    </row>
    <row r="313" spans="1:15" x14ac:dyDescent="0.2">
      <c r="C313" s="168" t="s">
        <v>386</v>
      </c>
      <c r="D313" s="220"/>
      <c r="E313" s="191" t="s">
        <v>61</v>
      </c>
      <c r="F313" s="191" t="s">
        <v>63</v>
      </c>
      <c r="G313" s="191" t="s">
        <v>104</v>
      </c>
      <c r="H313" s="191" t="s">
        <v>105</v>
      </c>
    </row>
    <row r="315" spans="1:15" x14ac:dyDescent="0.2">
      <c r="C315" s="1" t="s">
        <v>0</v>
      </c>
      <c r="E315" s="3"/>
      <c r="F315" s="3" t="s">
        <v>12</v>
      </c>
      <c r="G315" s="3"/>
      <c r="H315" s="3"/>
    </row>
    <row r="316" spans="1:15" x14ac:dyDescent="0.2">
      <c r="C316" s="1" t="s">
        <v>1</v>
      </c>
      <c r="E316" s="3"/>
      <c r="F316" s="3" t="s">
        <v>12</v>
      </c>
      <c r="G316" s="3" t="s">
        <v>12</v>
      </c>
      <c r="H316" s="3"/>
    </row>
    <row r="317" spans="1:15" x14ac:dyDescent="0.2">
      <c r="C317" s="1" t="s">
        <v>2</v>
      </c>
      <c r="E317" s="3" t="s">
        <v>12</v>
      </c>
      <c r="F317" s="3" t="s">
        <v>12</v>
      </c>
      <c r="G317" s="3" t="s">
        <v>12</v>
      </c>
      <c r="H317" s="3"/>
    </row>
    <row r="318" spans="1:15" x14ac:dyDescent="0.2">
      <c r="C318" s="1" t="s">
        <v>3</v>
      </c>
      <c r="E318" s="3"/>
      <c r="F318" s="3" t="s">
        <v>12</v>
      </c>
      <c r="G318" s="3"/>
      <c r="H318" s="3"/>
    </row>
    <row r="319" spans="1:15" x14ac:dyDescent="0.2">
      <c r="C319" s="1" t="s">
        <v>115</v>
      </c>
      <c r="E319" s="3"/>
      <c r="F319" s="3" t="s">
        <v>12</v>
      </c>
      <c r="G319" s="52"/>
      <c r="H319" s="3"/>
    </row>
    <row r="320" spans="1:15" x14ac:dyDescent="0.2">
      <c r="C320" s="1" t="s">
        <v>4</v>
      </c>
      <c r="E320" s="3" t="s">
        <v>12</v>
      </c>
      <c r="F320" s="3" t="s">
        <v>12</v>
      </c>
      <c r="G320" s="3" t="s">
        <v>12</v>
      </c>
      <c r="H320" s="3" t="s">
        <v>12</v>
      </c>
    </row>
    <row r="321" spans="3:8" x14ac:dyDescent="0.2">
      <c r="C321" s="1" t="s">
        <v>116</v>
      </c>
      <c r="E321" s="3"/>
      <c r="F321" s="3" t="s">
        <v>12</v>
      </c>
      <c r="G321" s="3" t="s">
        <v>12</v>
      </c>
      <c r="H321" s="3" t="s">
        <v>12</v>
      </c>
    </row>
    <row r="323" spans="3:8" x14ac:dyDescent="0.2">
      <c r="C323" s="1" t="s">
        <v>119</v>
      </c>
      <c r="E323" s="6" t="s">
        <v>117</v>
      </c>
      <c r="F323" s="6" t="s">
        <v>118</v>
      </c>
      <c r="G323" s="6" t="s">
        <v>353</v>
      </c>
      <c r="H323" s="7" t="s">
        <v>117</v>
      </c>
    </row>
    <row r="324" spans="3:8" x14ac:dyDescent="0.2">
      <c r="C324" s="1" t="s">
        <v>121</v>
      </c>
      <c r="E324" s="6" t="s">
        <v>122</v>
      </c>
      <c r="F324" s="6" t="s">
        <v>123</v>
      </c>
      <c r="G324" s="6" t="s">
        <v>352</v>
      </c>
      <c r="H324" s="7" t="s">
        <v>124</v>
      </c>
    </row>
    <row r="325" spans="3:8" x14ac:dyDescent="0.2">
      <c r="E325" s="6"/>
      <c r="F325" s="6"/>
      <c r="G325" s="6"/>
      <c r="H325" s="7"/>
    </row>
    <row r="327" spans="3:8" x14ac:dyDescent="0.2">
      <c r="C327" s="422" t="s">
        <v>271</v>
      </c>
      <c r="D327" s="423"/>
      <c r="E327" s="423"/>
      <c r="F327" s="423"/>
      <c r="G327" s="423"/>
      <c r="H327" s="423"/>
    </row>
    <row r="328" spans="3:8" x14ac:dyDescent="0.2">
      <c r="C328" s="422"/>
      <c r="D328" s="423"/>
      <c r="E328" s="423"/>
      <c r="F328" s="423"/>
      <c r="G328" s="423"/>
      <c r="H328" s="423"/>
    </row>
    <row r="329" spans="3:8" x14ac:dyDescent="0.2">
      <c r="C329" s="423"/>
      <c r="D329" s="423"/>
      <c r="E329" s="423"/>
      <c r="F329" s="423"/>
      <c r="G329" s="423"/>
      <c r="H329" s="423"/>
    </row>
    <row r="330" spans="3:8" x14ac:dyDescent="0.2">
      <c r="C330" s="212"/>
      <c r="D330" s="212"/>
      <c r="E330" s="212"/>
      <c r="F330" s="212"/>
      <c r="G330" s="212"/>
      <c r="H330" s="212"/>
    </row>
    <row r="331" spans="3:8" x14ac:dyDescent="0.2">
      <c r="C331" s="212"/>
      <c r="D331" s="212"/>
      <c r="E331" s="212"/>
      <c r="F331" s="212"/>
      <c r="G331" s="212"/>
      <c r="H331" s="212"/>
    </row>
    <row r="332" spans="3:8" x14ac:dyDescent="0.2">
      <c r="C332" s="212"/>
      <c r="D332" s="212"/>
      <c r="E332" s="212"/>
      <c r="F332" s="212"/>
      <c r="G332" s="212"/>
      <c r="H332" s="212"/>
    </row>
    <row r="333" spans="3:8" x14ac:dyDescent="0.2">
      <c r="C333" s="212"/>
      <c r="D333" s="212"/>
      <c r="E333" s="212"/>
      <c r="F333" s="212"/>
      <c r="G333" s="212"/>
      <c r="H333" s="212"/>
    </row>
    <row r="335" spans="3:8" x14ac:dyDescent="0.2">
      <c r="C335" s="168" t="s">
        <v>387</v>
      </c>
      <c r="D335" s="169"/>
      <c r="E335" s="191" t="s">
        <v>61</v>
      </c>
      <c r="F335" s="191" t="s">
        <v>63</v>
      </c>
      <c r="G335" s="191" t="s">
        <v>104</v>
      </c>
      <c r="H335" s="191" t="s">
        <v>105</v>
      </c>
    </row>
    <row r="337" spans="3:8" x14ac:dyDescent="0.2">
      <c r="C337" s="49" t="s">
        <v>354</v>
      </c>
      <c r="D337" s="6"/>
      <c r="E337" s="6"/>
      <c r="F337" s="6"/>
      <c r="G337" s="6"/>
      <c r="H337" s="6"/>
    </row>
    <row r="338" spans="3:8" x14ac:dyDescent="0.2">
      <c r="C338" s="49" t="s">
        <v>114</v>
      </c>
      <c r="D338" s="6"/>
      <c r="E338" s="192">
        <v>0.04</v>
      </c>
      <c r="F338" s="7"/>
      <c r="G338" s="7"/>
      <c r="H338" s="7"/>
    </row>
    <row r="339" spans="3:8" x14ac:dyDescent="0.2">
      <c r="C339" s="5"/>
      <c r="D339" s="5"/>
      <c r="E339" s="27"/>
      <c r="F339" s="27"/>
      <c r="G339" s="27"/>
      <c r="H339" s="27"/>
    </row>
    <row r="340" spans="3:8" x14ac:dyDescent="0.2">
      <c r="C340" s="2" t="s">
        <v>345</v>
      </c>
      <c r="E340" s="159">
        <v>10000000</v>
      </c>
      <c r="F340" s="159">
        <f>E340</f>
        <v>10000000</v>
      </c>
      <c r="G340" s="159">
        <f>F340</f>
        <v>10000000</v>
      </c>
      <c r="H340" s="159">
        <f>G340</f>
        <v>10000000</v>
      </c>
    </row>
    <row r="341" spans="3:8" x14ac:dyDescent="0.2">
      <c r="E341" s="159"/>
      <c r="F341" s="159"/>
      <c r="G341" s="159"/>
      <c r="H341" s="159"/>
    </row>
    <row r="342" spans="3:8" x14ac:dyDescent="0.2">
      <c r="C342" s="1" t="s">
        <v>344</v>
      </c>
      <c r="E342" s="27">
        <f>E340</f>
        <v>10000000</v>
      </c>
      <c r="F342" s="27">
        <v>0</v>
      </c>
      <c r="G342" s="41">
        <v>0</v>
      </c>
      <c r="H342" s="41">
        <v>0</v>
      </c>
    </row>
    <row r="343" spans="3:8" x14ac:dyDescent="0.2">
      <c r="C343" s="1" t="s">
        <v>343</v>
      </c>
      <c r="E343" s="27">
        <v>0</v>
      </c>
      <c r="F343" s="27">
        <f>F346</f>
        <v>400000</v>
      </c>
      <c r="G343" s="41">
        <f>G346</f>
        <v>400000</v>
      </c>
      <c r="H343" s="41">
        <f>H346</f>
        <v>400000</v>
      </c>
    </row>
    <row r="344" spans="3:8" x14ac:dyDescent="0.2">
      <c r="E344" s="27"/>
      <c r="F344" s="27"/>
      <c r="G344" s="41"/>
      <c r="H344" s="41"/>
    </row>
    <row r="345" spans="3:8" x14ac:dyDescent="0.2">
      <c r="C345" s="1" t="s">
        <v>346</v>
      </c>
      <c r="E345" s="27">
        <f>E342</f>
        <v>10000000</v>
      </c>
      <c r="F345" s="27">
        <f>F346</f>
        <v>400000</v>
      </c>
      <c r="G345" s="27">
        <f>F346</f>
        <v>400000</v>
      </c>
      <c r="H345" s="27">
        <v>0</v>
      </c>
    </row>
    <row r="346" spans="3:8" x14ac:dyDescent="0.2">
      <c r="C346" s="1" t="s">
        <v>110</v>
      </c>
      <c r="E346" s="27">
        <f>$E338*E348</f>
        <v>0</v>
      </c>
      <c r="F346" s="27">
        <f>$E338*F340</f>
        <v>400000</v>
      </c>
      <c r="G346" s="27">
        <f>$E338*G340</f>
        <v>400000</v>
      </c>
      <c r="H346" s="27">
        <f>$E338*H340</f>
        <v>400000</v>
      </c>
    </row>
    <row r="347" spans="3:8" x14ac:dyDescent="0.2">
      <c r="E347" s="27"/>
      <c r="F347" s="27"/>
      <c r="G347" s="27"/>
      <c r="H347" s="27"/>
    </row>
    <row r="348" spans="3:8" x14ac:dyDescent="0.2">
      <c r="C348" s="1" t="s">
        <v>347</v>
      </c>
      <c r="E348" s="27">
        <f>E340-E345</f>
        <v>0</v>
      </c>
      <c r="F348" s="27">
        <f>F340-F345</f>
        <v>9600000</v>
      </c>
      <c r="G348" s="27">
        <v>0</v>
      </c>
      <c r="H348" s="27">
        <v>0</v>
      </c>
    </row>
    <row r="349" spans="3:8" x14ac:dyDescent="0.2">
      <c r="C349" s="1" t="s">
        <v>106</v>
      </c>
      <c r="E349" s="27">
        <v>0</v>
      </c>
      <c r="F349" s="27">
        <v>0</v>
      </c>
      <c r="G349" s="41">
        <f>G340-G345</f>
        <v>9600000</v>
      </c>
      <c r="H349" s="41">
        <f>H340</f>
        <v>10000000</v>
      </c>
    </row>
    <row r="350" spans="3:8" x14ac:dyDescent="0.2">
      <c r="C350" s="1" t="s">
        <v>348</v>
      </c>
      <c r="D350" s="2"/>
      <c r="E350" s="27">
        <f>E340</f>
        <v>10000000</v>
      </c>
      <c r="F350" s="27">
        <f>F340</f>
        <v>10000000</v>
      </c>
      <c r="G350" s="41">
        <f>G346</f>
        <v>400000</v>
      </c>
      <c r="H350" s="41">
        <v>0</v>
      </c>
    </row>
    <row r="351" spans="3:8" x14ac:dyDescent="0.2">
      <c r="D351" s="2"/>
      <c r="E351" s="2"/>
      <c r="F351" s="2"/>
      <c r="G351" s="2"/>
      <c r="H351" s="2"/>
    </row>
    <row r="352" spans="3:8" x14ac:dyDescent="0.2">
      <c r="C352" s="422" t="s">
        <v>120</v>
      </c>
      <c r="D352" s="422"/>
      <c r="E352" s="422"/>
      <c r="F352" s="422"/>
      <c r="G352" s="422"/>
      <c r="H352" s="422"/>
    </row>
    <row r="353" spans="3:8" x14ac:dyDescent="0.2">
      <c r="C353" s="422"/>
      <c r="D353" s="422"/>
      <c r="E353" s="422"/>
      <c r="F353" s="422"/>
      <c r="G353" s="422"/>
      <c r="H353" s="422"/>
    </row>
    <row r="354" spans="3:8" x14ac:dyDescent="0.2">
      <c r="C354" s="12"/>
      <c r="D354" s="12"/>
      <c r="E354" s="12"/>
      <c r="F354" s="12"/>
      <c r="G354" s="12"/>
      <c r="H354" s="22"/>
    </row>
    <row r="358" spans="3:8" x14ac:dyDescent="0.2">
      <c r="E358" s="9"/>
      <c r="F358" s="9"/>
      <c r="G358" s="40"/>
      <c r="H358" s="40"/>
    </row>
    <row r="359" spans="3:8" x14ac:dyDescent="0.2">
      <c r="C359" s="50"/>
      <c r="D359" s="50"/>
      <c r="E359" s="51"/>
      <c r="F359" s="51"/>
      <c r="G359" s="51"/>
      <c r="H359" s="51"/>
    </row>
    <row r="360" spans="3:8" x14ac:dyDescent="0.2">
      <c r="C360" s="168" t="s">
        <v>388</v>
      </c>
      <c r="D360" s="169"/>
      <c r="E360" s="191" t="s">
        <v>61</v>
      </c>
      <c r="F360" s="191" t="s">
        <v>63</v>
      </c>
      <c r="G360" s="191" t="s">
        <v>104</v>
      </c>
      <c r="H360" s="191" t="s">
        <v>105</v>
      </c>
    </row>
    <row r="361" spans="3:8" x14ac:dyDescent="0.2">
      <c r="E361" s="9"/>
      <c r="F361" s="9"/>
      <c r="G361" s="9"/>
      <c r="H361" s="9"/>
    </row>
    <row r="362" spans="3:8" x14ac:dyDescent="0.2">
      <c r="C362" s="2" t="s">
        <v>112</v>
      </c>
      <c r="D362" s="2"/>
      <c r="E362" s="27" t="s">
        <v>21</v>
      </c>
      <c r="F362" s="27" t="s">
        <v>109</v>
      </c>
      <c r="G362" s="27" t="s">
        <v>107</v>
      </c>
      <c r="H362" s="27" t="s">
        <v>108</v>
      </c>
    </row>
    <row r="363" spans="3:8" x14ac:dyDescent="0.2">
      <c r="C363" s="2"/>
      <c r="D363" s="2"/>
      <c r="E363" s="7"/>
      <c r="F363" s="7"/>
      <c r="G363" s="7"/>
      <c r="H363" s="7"/>
    </row>
    <row r="364" spans="3:8" x14ac:dyDescent="0.2">
      <c r="C364" s="2" t="s">
        <v>111</v>
      </c>
      <c r="D364" s="2"/>
      <c r="E364" s="27">
        <f>E340*4</f>
        <v>40000000</v>
      </c>
      <c r="F364" s="27">
        <f>F340</f>
        <v>10000000</v>
      </c>
      <c r="G364" s="27">
        <f>G340/0.75</f>
        <v>13333333.333333334</v>
      </c>
      <c r="H364" s="27">
        <f>H340/0.9</f>
        <v>11111111.11111111</v>
      </c>
    </row>
    <row r="365" spans="3:8" x14ac:dyDescent="0.2">
      <c r="C365" s="2" t="s">
        <v>113</v>
      </c>
      <c r="D365" s="2"/>
      <c r="E365" s="27">
        <f>E364*2</f>
        <v>80000000</v>
      </c>
      <c r="F365" s="27">
        <f>F364</f>
        <v>10000000</v>
      </c>
      <c r="G365" s="27">
        <f>G364</f>
        <v>13333333.333333334</v>
      </c>
      <c r="H365" s="27">
        <f>H364*2</f>
        <v>22222222.22222222</v>
      </c>
    </row>
    <row r="366" spans="3:8" x14ac:dyDescent="0.2">
      <c r="C366" s="2"/>
      <c r="D366" s="2"/>
      <c r="E366" s="27"/>
      <c r="F366" s="27"/>
      <c r="G366" s="27"/>
      <c r="H366" s="27"/>
    </row>
    <row r="367" spans="3:8" x14ac:dyDescent="0.2">
      <c r="C367" s="2" t="s">
        <v>355</v>
      </c>
      <c r="D367" s="2"/>
      <c r="E367" s="10">
        <f>E340/E365</f>
        <v>0.125</v>
      </c>
      <c r="F367" s="10">
        <f>F340/F365</f>
        <v>1</v>
      </c>
      <c r="G367" s="10">
        <f>G340/G365</f>
        <v>0.75</v>
      </c>
      <c r="H367" s="10">
        <f>H340/H365</f>
        <v>0.45000000000000007</v>
      </c>
    </row>
    <row r="368" spans="3:8" x14ac:dyDescent="0.2">
      <c r="C368" s="2" t="s">
        <v>349</v>
      </c>
      <c r="D368" s="2"/>
      <c r="E368" s="10">
        <f>E345/E365</f>
        <v>0.125</v>
      </c>
      <c r="F368" s="10">
        <f>F345/F365</f>
        <v>0.04</v>
      </c>
      <c r="G368" s="10">
        <f>G345/G365</f>
        <v>0.03</v>
      </c>
      <c r="H368" s="10">
        <f>H345/H365</f>
        <v>0</v>
      </c>
    </row>
    <row r="369" spans="3:8" x14ac:dyDescent="0.2">
      <c r="E369" s="11"/>
      <c r="F369" s="11"/>
      <c r="G369" s="11"/>
      <c r="H369" s="11"/>
    </row>
    <row r="370" spans="3:8" x14ac:dyDescent="0.2">
      <c r="C370" s="422" t="s">
        <v>356</v>
      </c>
      <c r="D370" s="423"/>
      <c r="E370" s="423"/>
      <c r="F370" s="423"/>
      <c r="G370" s="423"/>
      <c r="H370" s="423"/>
    </row>
    <row r="371" spans="3:8" x14ac:dyDescent="0.2">
      <c r="C371" s="422"/>
      <c r="D371" s="423"/>
      <c r="E371" s="423"/>
      <c r="F371" s="423"/>
      <c r="G371" s="423"/>
      <c r="H371" s="423"/>
    </row>
    <row r="372" spans="3:8" x14ac:dyDescent="0.2">
      <c r="C372" s="423"/>
      <c r="D372" s="423"/>
      <c r="E372" s="423"/>
      <c r="F372" s="423"/>
      <c r="G372" s="423"/>
      <c r="H372" s="423"/>
    </row>
    <row r="373" spans="3:8" x14ac:dyDescent="0.2">
      <c r="C373" s="438"/>
      <c r="D373" s="438"/>
      <c r="E373" s="438"/>
      <c r="F373" s="438"/>
      <c r="G373" s="438"/>
      <c r="H373" s="438"/>
    </row>
    <row r="374" spans="3:8" x14ac:dyDescent="0.2">
      <c r="C374" s="439" t="s">
        <v>350</v>
      </c>
      <c r="D374" s="440"/>
      <c r="E374" s="440"/>
      <c r="F374" s="440"/>
      <c r="G374" s="440"/>
      <c r="H374" s="440"/>
    </row>
    <row r="375" spans="3:8" x14ac:dyDescent="0.2">
      <c r="C375" s="439"/>
      <c r="D375" s="440"/>
      <c r="E375" s="440"/>
      <c r="F375" s="440"/>
      <c r="G375" s="440"/>
      <c r="H375" s="440"/>
    </row>
    <row r="376" spans="3:8" x14ac:dyDescent="0.2">
      <c r="C376" s="439"/>
      <c r="D376" s="440"/>
      <c r="E376" s="440"/>
      <c r="F376" s="440"/>
      <c r="G376" s="440"/>
      <c r="H376" s="440"/>
    </row>
    <row r="377" spans="3:8" x14ac:dyDescent="0.2">
      <c r="C377" s="440"/>
      <c r="D377" s="440"/>
      <c r="E377" s="440"/>
      <c r="F377" s="440"/>
      <c r="G377" s="440"/>
      <c r="H377" s="440"/>
    </row>
    <row r="378" spans="3:8" x14ac:dyDescent="0.2">
      <c r="C378" s="438"/>
      <c r="D378" s="438"/>
      <c r="E378" s="438"/>
      <c r="F378" s="438"/>
      <c r="G378" s="438"/>
      <c r="H378" s="438"/>
    </row>
    <row r="379" spans="3:8" x14ac:dyDescent="0.2">
      <c r="C379" s="438"/>
      <c r="D379" s="438"/>
      <c r="E379" s="438"/>
      <c r="F379" s="438"/>
      <c r="G379" s="438"/>
      <c r="H379" s="438"/>
    </row>
    <row r="380" spans="3:8" x14ac:dyDescent="0.2">
      <c r="E380" s="9"/>
      <c r="F380" s="9"/>
      <c r="G380" s="9"/>
      <c r="H380" s="9"/>
    </row>
    <row r="381" spans="3:8" x14ac:dyDescent="0.2">
      <c r="E381" s="9"/>
      <c r="F381" s="9"/>
      <c r="G381" s="9"/>
      <c r="H381" s="9"/>
    </row>
    <row r="382" spans="3:8" x14ac:dyDescent="0.2">
      <c r="E382" s="9"/>
      <c r="F382" s="9"/>
      <c r="G382" s="9"/>
      <c r="H382" s="9"/>
    </row>
    <row r="383" spans="3:8" x14ac:dyDescent="0.2">
      <c r="E383" s="9"/>
      <c r="F383" s="9"/>
      <c r="G383" s="9"/>
      <c r="H383" s="9"/>
    </row>
    <row r="384" spans="3:8" x14ac:dyDescent="0.2">
      <c r="E384" s="9"/>
      <c r="F384" s="9"/>
      <c r="G384" s="9"/>
      <c r="H384" s="9"/>
    </row>
    <row r="385" spans="3:8" x14ac:dyDescent="0.2">
      <c r="E385" s="9"/>
      <c r="F385" s="9"/>
      <c r="G385" s="9"/>
      <c r="H385" s="9"/>
    </row>
    <row r="386" spans="3:8" x14ac:dyDescent="0.2">
      <c r="C386" s="168" t="s">
        <v>389</v>
      </c>
      <c r="D386" s="169"/>
      <c r="E386" s="191" t="s">
        <v>61</v>
      </c>
      <c r="F386" s="191" t="s">
        <v>63</v>
      </c>
      <c r="G386" s="191" t="s">
        <v>104</v>
      </c>
      <c r="H386" s="191" t="s">
        <v>105</v>
      </c>
    </row>
    <row r="387" spans="3:8" x14ac:dyDescent="0.2">
      <c r="E387" s="9"/>
      <c r="F387" s="9"/>
      <c r="G387" s="9"/>
      <c r="H387" s="9"/>
    </row>
    <row r="388" spans="3:8" x14ac:dyDescent="0.2">
      <c r="C388" s="49" t="s">
        <v>351</v>
      </c>
      <c r="D388" s="6"/>
      <c r="E388" s="6"/>
      <c r="F388" s="6"/>
      <c r="G388" s="6"/>
      <c r="H388" s="6"/>
    </row>
    <row r="389" spans="3:8" x14ac:dyDescent="0.2">
      <c r="C389" s="49" t="s">
        <v>114</v>
      </c>
      <c r="D389" s="6"/>
      <c r="E389" s="160">
        <v>0.12</v>
      </c>
      <c r="F389" s="6"/>
      <c r="G389" s="6"/>
      <c r="H389" s="6"/>
    </row>
    <row r="390" spans="3:8" x14ac:dyDescent="0.2">
      <c r="C390" s="5"/>
      <c r="D390" s="5"/>
      <c r="E390" s="9"/>
      <c r="F390" s="9"/>
      <c r="G390" s="9"/>
      <c r="H390" s="9"/>
    </row>
    <row r="391" spans="3:8" x14ac:dyDescent="0.2">
      <c r="C391" s="1" t="str">
        <f>C340</f>
        <v>Federal Dollars committed</v>
      </c>
      <c r="E391" s="48">
        <v>10000000</v>
      </c>
      <c r="F391" s="48">
        <f>E391</f>
        <v>10000000</v>
      </c>
      <c r="G391" s="48">
        <f>F391</f>
        <v>10000000</v>
      </c>
      <c r="H391" s="48">
        <f>G391</f>
        <v>10000000</v>
      </c>
    </row>
    <row r="392" spans="3:8" x14ac:dyDescent="0.2">
      <c r="E392" s="48"/>
      <c r="F392" s="48"/>
      <c r="G392" s="48"/>
      <c r="H392" s="48"/>
    </row>
    <row r="393" spans="3:8" x14ac:dyDescent="0.2">
      <c r="C393" s="1" t="str">
        <f>C342</f>
        <v>Federal  $ expended this year</v>
      </c>
      <c r="E393" s="9">
        <f>E391</f>
        <v>10000000</v>
      </c>
      <c r="F393" s="9">
        <v>0</v>
      </c>
      <c r="G393" s="40">
        <v>0</v>
      </c>
      <c r="H393" s="40">
        <v>0</v>
      </c>
    </row>
    <row r="394" spans="3:8" x14ac:dyDescent="0.2">
      <c r="C394" s="1" t="str">
        <f>C343</f>
        <v>Federal $ expended in the future</v>
      </c>
      <c r="E394" s="9">
        <v>0</v>
      </c>
      <c r="F394" s="9">
        <f>F397</f>
        <v>1200000</v>
      </c>
      <c r="G394" s="40">
        <f>G397</f>
        <v>1200000</v>
      </c>
      <c r="H394" s="40">
        <f>H397</f>
        <v>200000.00000000023</v>
      </c>
    </row>
    <row r="395" spans="3:8" x14ac:dyDescent="0.2">
      <c r="E395" s="9"/>
      <c r="F395" s="9"/>
      <c r="G395" s="40"/>
      <c r="H395" s="40"/>
    </row>
    <row r="396" spans="3:8" x14ac:dyDescent="0.2">
      <c r="C396" s="1" t="str">
        <f>C345</f>
        <v>Total federal $ expended</v>
      </c>
      <c r="E396" s="9">
        <f>E393</f>
        <v>10000000</v>
      </c>
      <c r="F396" s="9">
        <f>F397</f>
        <v>1200000</v>
      </c>
      <c r="G396" s="9">
        <f>F397</f>
        <v>1200000</v>
      </c>
      <c r="H396" s="9">
        <f>H394</f>
        <v>200000.00000000023</v>
      </c>
    </row>
    <row r="397" spans="3:8" x14ac:dyDescent="0.2">
      <c r="C397" s="1" t="str">
        <f>C346</f>
        <v>Dollars expended due to bad loans</v>
      </c>
      <c r="E397" s="9">
        <f>$E389*E399</f>
        <v>0</v>
      </c>
      <c r="F397" s="9">
        <f>$E389*F391</f>
        <v>1200000</v>
      </c>
      <c r="G397" s="9">
        <f>$E389*G391</f>
        <v>1200000</v>
      </c>
      <c r="H397" s="9">
        <f>(H391*E389)-H391*(1-0.9)</f>
        <v>200000.00000000023</v>
      </c>
    </row>
    <row r="398" spans="3:8" x14ac:dyDescent="0.2">
      <c r="E398" s="9"/>
      <c r="F398" s="9"/>
      <c r="G398" s="9"/>
      <c r="H398" s="9"/>
    </row>
    <row r="399" spans="3:8" x14ac:dyDescent="0.2">
      <c r="C399" s="1" t="str">
        <f>C348</f>
        <v>$ Assets on federal balance sheet</v>
      </c>
      <c r="E399" s="9">
        <v>0</v>
      </c>
      <c r="F399" s="9">
        <f>F391-F397</f>
        <v>8800000</v>
      </c>
      <c r="G399" s="40">
        <v>0</v>
      </c>
      <c r="H399" s="40">
        <v>0</v>
      </c>
    </row>
    <row r="400" spans="3:8" x14ac:dyDescent="0.2">
      <c r="C400" s="1" t="s">
        <v>106</v>
      </c>
      <c r="E400" s="9">
        <v>0</v>
      </c>
      <c r="F400" s="9">
        <v>0</v>
      </c>
      <c r="G400" s="40">
        <f>G391-G397</f>
        <v>8800000</v>
      </c>
      <c r="H400" s="40">
        <f>H391</f>
        <v>10000000</v>
      </c>
    </row>
    <row r="401" spans="3:8" x14ac:dyDescent="0.2">
      <c r="C401" s="1" t="str">
        <f>C350</f>
        <v>Total dollars expended (not incl admin)</v>
      </c>
      <c r="E401" s="9">
        <f>E391</f>
        <v>10000000</v>
      </c>
      <c r="F401" s="9">
        <f>F391</f>
        <v>10000000</v>
      </c>
      <c r="G401" s="40">
        <f>G397</f>
        <v>1200000</v>
      </c>
      <c r="H401" s="40">
        <f>H397</f>
        <v>200000.00000000023</v>
      </c>
    </row>
    <row r="403" spans="3:8" x14ac:dyDescent="0.2">
      <c r="C403" s="422" t="s">
        <v>357</v>
      </c>
      <c r="D403" s="423"/>
      <c r="E403" s="423"/>
      <c r="F403" s="423"/>
      <c r="G403" s="423"/>
      <c r="H403" s="423"/>
    </row>
    <row r="404" spans="3:8" x14ac:dyDescent="0.2">
      <c r="C404" s="422"/>
      <c r="D404" s="423"/>
      <c r="E404" s="423"/>
      <c r="F404" s="423"/>
      <c r="G404" s="423"/>
      <c r="H404" s="423"/>
    </row>
    <row r="405" spans="3:8" x14ac:dyDescent="0.2">
      <c r="C405" s="422"/>
      <c r="D405" s="423"/>
      <c r="E405" s="423"/>
      <c r="F405" s="423"/>
      <c r="G405" s="423"/>
      <c r="H405" s="423"/>
    </row>
    <row r="406" spans="3:8" x14ac:dyDescent="0.2">
      <c r="C406" s="422"/>
      <c r="D406" s="423"/>
      <c r="E406" s="423"/>
      <c r="F406" s="423"/>
      <c r="G406" s="423"/>
      <c r="H406" s="423"/>
    </row>
    <row r="407" spans="3:8" x14ac:dyDescent="0.2">
      <c r="C407" s="423"/>
      <c r="D407" s="423"/>
      <c r="E407" s="423"/>
      <c r="F407" s="423"/>
      <c r="G407" s="423"/>
      <c r="H407" s="423"/>
    </row>
    <row r="408" spans="3:8" x14ac:dyDescent="0.2">
      <c r="C408" s="212"/>
      <c r="D408" s="212"/>
      <c r="E408" s="212"/>
      <c r="F408" s="212"/>
      <c r="G408" s="212"/>
      <c r="H408" s="212"/>
    </row>
    <row r="409" spans="3:8" x14ac:dyDescent="0.2">
      <c r="C409" s="212"/>
      <c r="D409" s="212"/>
      <c r="E409" s="212"/>
      <c r="F409" s="212"/>
      <c r="G409" s="212"/>
      <c r="H409" s="212"/>
    </row>
    <row r="410" spans="3:8" x14ac:dyDescent="0.2">
      <c r="C410" s="212"/>
      <c r="D410" s="212"/>
      <c r="E410" s="212"/>
      <c r="F410" s="212"/>
      <c r="G410" s="212"/>
      <c r="H410" s="212"/>
    </row>
    <row r="411" spans="3:8" x14ac:dyDescent="0.2">
      <c r="C411" s="212"/>
      <c r="D411" s="212"/>
      <c r="E411" s="212"/>
      <c r="F411" s="212"/>
      <c r="G411" s="212"/>
      <c r="H411" s="212"/>
    </row>
    <row r="413" spans="3:8" x14ac:dyDescent="0.2">
      <c r="C413" s="168" t="s">
        <v>390</v>
      </c>
      <c r="D413" s="169"/>
      <c r="E413" s="191" t="s">
        <v>61</v>
      </c>
      <c r="F413" s="191" t="s">
        <v>63</v>
      </c>
      <c r="G413" s="191" t="s">
        <v>104</v>
      </c>
      <c r="H413" s="191" t="s">
        <v>105</v>
      </c>
    </row>
    <row r="414" spans="3:8" x14ac:dyDescent="0.2">
      <c r="E414" s="9"/>
      <c r="F414" s="9"/>
      <c r="G414" s="9"/>
      <c r="H414" s="9"/>
    </row>
    <row r="415" spans="3:8" x14ac:dyDescent="0.2">
      <c r="C415" s="1" t="s">
        <v>112</v>
      </c>
      <c r="E415" s="9" t="s">
        <v>21</v>
      </c>
      <c r="F415" s="9" t="s">
        <v>109</v>
      </c>
      <c r="G415" s="9" t="s">
        <v>107</v>
      </c>
      <c r="H415" s="9" t="s">
        <v>108</v>
      </c>
    </row>
    <row r="416" spans="3:8" x14ac:dyDescent="0.2">
      <c r="E416" s="6"/>
      <c r="F416" s="6"/>
      <c r="G416" s="6"/>
      <c r="H416" s="6"/>
    </row>
    <row r="417" spans="3:8" x14ac:dyDescent="0.2">
      <c r="C417" s="1" t="s">
        <v>111</v>
      </c>
      <c r="E417" s="9">
        <f>E391*4</f>
        <v>40000000</v>
      </c>
      <c r="F417" s="9">
        <f>F391</f>
        <v>10000000</v>
      </c>
      <c r="G417" s="9">
        <f>G391/0.75</f>
        <v>13333333.333333334</v>
      </c>
      <c r="H417" s="9">
        <f>H391/0.9</f>
        <v>11111111.11111111</v>
      </c>
    </row>
    <row r="418" spans="3:8" x14ac:dyDescent="0.2">
      <c r="C418" s="1" t="s">
        <v>113</v>
      </c>
      <c r="E418" s="9">
        <f>E417*2</f>
        <v>80000000</v>
      </c>
      <c r="F418" s="9">
        <f>F417</f>
        <v>10000000</v>
      </c>
      <c r="G418" s="9">
        <f>G417</f>
        <v>13333333.333333334</v>
      </c>
      <c r="H418" s="9">
        <f>H417*2</f>
        <v>22222222.22222222</v>
      </c>
    </row>
    <row r="419" spans="3:8" x14ac:dyDescent="0.2">
      <c r="E419" s="9"/>
      <c r="F419" s="9"/>
      <c r="G419" s="9"/>
      <c r="H419" s="9"/>
    </row>
    <row r="420" spans="3:8" x14ac:dyDescent="0.2">
      <c r="C420" s="1" t="str">
        <f>C367</f>
        <v>Federal Commitment % to Loans made</v>
      </c>
      <c r="E420" s="11">
        <f>E391/E418</f>
        <v>0.125</v>
      </c>
      <c r="F420" s="11">
        <f>F391/F418</f>
        <v>1</v>
      </c>
      <c r="G420" s="11">
        <f>G391/G418</f>
        <v>0.75</v>
      </c>
      <c r="H420" s="37">
        <f>H391/H418</f>
        <v>0.45000000000000007</v>
      </c>
    </row>
    <row r="421" spans="3:8" x14ac:dyDescent="0.2">
      <c r="C421" s="1" t="str">
        <f>C368</f>
        <v>Dollars expended % to Loans made</v>
      </c>
      <c r="D421" s="2"/>
      <c r="E421" s="10">
        <f>E396/E418</f>
        <v>0.125</v>
      </c>
      <c r="F421" s="10">
        <f>F396/F418</f>
        <v>0.12</v>
      </c>
      <c r="G421" s="10">
        <f>G396/G418</f>
        <v>0.09</v>
      </c>
      <c r="H421" s="10">
        <f>H396/H418</f>
        <v>9.0000000000000115E-3</v>
      </c>
    </row>
    <row r="422" spans="3:8" x14ac:dyDescent="0.2">
      <c r="C422" s="2"/>
      <c r="D422" s="2"/>
      <c r="E422" s="2"/>
      <c r="F422" s="2"/>
      <c r="G422" s="2"/>
      <c r="H422" s="2"/>
    </row>
    <row r="423" spans="3:8" x14ac:dyDescent="0.2">
      <c r="C423" s="422" t="s">
        <v>358</v>
      </c>
      <c r="D423" s="422"/>
      <c r="E423" s="422"/>
      <c r="F423" s="422"/>
      <c r="G423" s="422"/>
      <c r="H423" s="422"/>
    </row>
    <row r="424" spans="3:8" x14ac:dyDescent="0.2">
      <c r="C424" s="422"/>
      <c r="D424" s="422"/>
      <c r="E424" s="422"/>
      <c r="F424" s="422"/>
      <c r="G424" s="422"/>
      <c r="H424" s="422"/>
    </row>
    <row r="425" spans="3:8" x14ac:dyDescent="0.2">
      <c r="C425" s="422"/>
      <c r="D425" s="422"/>
      <c r="E425" s="422"/>
      <c r="F425" s="422"/>
      <c r="G425" s="422"/>
      <c r="H425" s="422"/>
    </row>
    <row r="426" spans="3:8" x14ac:dyDescent="0.2">
      <c r="C426" s="422"/>
      <c r="D426" s="422"/>
      <c r="E426" s="422"/>
      <c r="F426" s="422"/>
      <c r="G426" s="422"/>
      <c r="H426" s="422"/>
    </row>
    <row r="427" spans="3:8" x14ac:dyDescent="0.2">
      <c r="C427" s="422"/>
      <c r="D427" s="422"/>
      <c r="E427" s="422"/>
      <c r="F427" s="422"/>
      <c r="G427" s="422"/>
      <c r="H427" s="422"/>
    </row>
    <row r="428" spans="3:8" x14ac:dyDescent="0.2">
      <c r="C428" s="422"/>
      <c r="D428" s="422"/>
      <c r="E428" s="422"/>
      <c r="F428" s="422"/>
      <c r="G428" s="422"/>
      <c r="H428" s="422"/>
    </row>
    <row r="429" spans="3:8" x14ac:dyDescent="0.2">
      <c r="C429" s="422"/>
      <c r="D429" s="422"/>
      <c r="E429" s="422"/>
      <c r="F429" s="422"/>
      <c r="G429" s="422"/>
      <c r="H429" s="422"/>
    </row>
    <row r="430" spans="3:8" x14ac:dyDescent="0.2">
      <c r="C430" s="437"/>
      <c r="D430" s="437"/>
      <c r="E430" s="437"/>
      <c r="F430" s="437"/>
      <c r="G430" s="437"/>
      <c r="H430" s="437"/>
    </row>
    <row r="437" spans="1:11" ht="15" customHeight="1" x14ac:dyDescent="0.2">
      <c r="A437" s="408" t="s">
        <v>454</v>
      </c>
      <c r="B437" s="450"/>
      <c r="C437" s="450"/>
      <c r="D437" s="450"/>
      <c r="E437" s="450"/>
      <c r="F437" s="450"/>
      <c r="G437" s="450"/>
      <c r="H437" s="450"/>
      <c r="I437" s="450"/>
      <c r="J437" s="450"/>
      <c r="K437" s="450"/>
    </row>
    <row r="438" spans="1:11" x14ac:dyDescent="0.2">
      <c r="A438" s="450"/>
      <c r="B438" s="450"/>
      <c r="C438" s="450"/>
      <c r="D438" s="450"/>
      <c r="E438" s="450"/>
      <c r="F438" s="450"/>
      <c r="G438" s="450"/>
      <c r="H438" s="450"/>
      <c r="I438" s="450"/>
      <c r="J438" s="450"/>
      <c r="K438" s="450"/>
    </row>
    <row r="439" spans="1:11" ht="15" x14ac:dyDescent="0.2">
      <c r="A439" s="270"/>
      <c r="B439" s="271"/>
      <c r="C439" s="271"/>
      <c r="D439" s="271"/>
      <c r="E439" s="271"/>
      <c r="F439" s="271"/>
      <c r="G439" s="271"/>
      <c r="H439" s="271"/>
      <c r="I439" s="271"/>
      <c r="J439" s="271"/>
      <c r="K439" s="271"/>
    </row>
    <row r="440" spans="1:11" ht="15" x14ac:dyDescent="0.2">
      <c r="A440" s="266"/>
      <c r="B440" s="267"/>
      <c r="C440" s="267"/>
      <c r="D440" s="267"/>
      <c r="E440" s="267"/>
      <c r="F440" s="267"/>
      <c r="G440" s="267"/>
      <c r="H440" s="267"/>
      <c r="I440" s="267"/>
      <c r="J440" s="267"/>
      <c r="K440" s="267"/>
    </row>
    <row r="441" spans="1:11" ht="15" x14ac:dyDescent="0.25">
      <c r="A441"/>
      <c r="B441"/>
      <c r="C441"/>
      <c r="D441"/>
      <c r="E441"/>
      <c r="F441"/>
      <c r="G441"/>
      <c r="H441"/>
      <c r="I441"/>
      <c r="J441"/>
      <c r="K441"/>
    </row>
    <row r="442" spans="1:11" customFormat="1" ht="15" x14ac:dyDescent="0.25">
      <c r="C442" s="266"/>
      <c r="D442" s="267"/>
      <c r="E442" s="267"/>
      <c r="F442" s="267"/>
      <c r="G442" s="267"/>
      <c r="H442" s="267"/>
      <c r="I442" s="267"/>
      <c r="J442" s="267"/>
    </row>
    <row r="443" spans="1:11" customFormat="1" ht="15" x14ac:dyDescent="0.25"/>
    <row r="444" spans="1:11" customFormat="1" ht="15" x14ac:dyDescent="0.25">
      <c r="E444" s="326" t="s">
        <v>405</v>
      </c>
      <c r="F444" s="326"/>
      <c r="G444" s="327"/>
      <c r="H444" s="327"/>
      <c r="I444" s="327"/>
      <c r="J444" s="327"/>
    </row>
    <row r="445" spans="1:11" customFormat="1" ht="15" x14ac:dyDescent="0.25"/>
    <row r="446" spans="1:11" customFormat="1" ht="15.75" x14ac:dyDescent="0.25">
      <c r="E446" s="328" t="s">
        <v>406</v>
      </c>
    </row>
    <row r="447" spans="1:11" customFormat="1" ht="15" x14ac:dyDescent="0.25">
      <c r="E447" s="451" t="s">
        <v>407</v>
      </c>
      <c r="F447" s="452"/>
      <c r="G447" s="453"/>
    </row>
    <row r="448" spans="1:11" customFormat="1" ht="15" x14ac:dyDescent="0.25"/>
    <row r="449" spans="3:10" customFormat="1" ht="15" x14ac:dyDescent="0.25"/>
    <row r="450" spans="3:10" customFormat="1" ht="15" x14ac:dyDescent="0.25"/>
    <row r="451" spans="3:10" customFormat="1" ht="15" x14ac:dyDescent="0.25">
      <c r="C451" s="268"/>
      <c r="D451" s="269"/>
      <c r="E451" s="326" t="s">
        <v>146</v>
      </c>
      <c r="F451" s="326"/>
      <c r="G451" s="327"/>
      <c r="H451" s="327"/>
      <c r="I451" s="327"/>
      <c r="J451" s="327"/>
    </row>
    <row r="452" spans="3:10" customFormat="1" ht="15" x14ac:dyDescent="0.25">
      <c r="C452" s="224"/>
      <c r="D452" s="224"/>
      <c r="E452" s="224" t="str">
        <f>IF(E447&lt;&gt;S443,"You did not select this option - we suggest you enter $0 in the input cell below!","This effectively is our minimum leverage expectation: e.g. if we enter $0.25 we want them to leverage grant dollars at a rate of 3:1")</f>
        <v>You did not select this option - we suggest you enter $0 in the input cell below!</v>
      </c>
      <c r="F452" s="224"/>
      <c r="G452" s="224"/>
      <c r="H452" s="224"/>
      <c r="I452" s="224"/>
      <c r="J452" s="224"/>
    </row>
    <row r="453" spans="3:10" customFormat="1" ht="15" x14ac:dyDescent="0.25">
      <c r="C453" s="224"/>
      <c r="D453" s="224"/>
      <c r="E453" s="224"/>
      <c r="F453" s="329" t="s">
        <v>408</v>
      </c>
      <c r="G453" s="330">
        <v>0</v>
      </c>
      <c r="H453" s="224"/>
      <c r="I453" s="224"/>
      <c r="J453" s="224"/>
    </row>
    <row r="454" spans="3:10" customFormat="1" ht="15" x14ac:dyDescent="0.25">
      <c r="C454" s="224"/>
      <c r="D454" s="224"/>
      <c r="E454" s="224"/>
      <c r="F454" s="224"/>
      <c r="G454" s="224"/>
      <c r="H454" s="224"/>
      <c r="I454" s="224"/>
      <c r="J454" s="224"/>
    </row>
    <row r="455" spans="3:10" customFormat="1" ht="27" customHeight="1" x14ac:dyDescent="0.25">
      <c r="C455" s="224"/>
      <c r="D455" s="224"/>
      <c r="E455" s="224"/>
      <c r="F455" s="224"/>
      <c r="G455" s="224"/>
      <c r="H455" s="224"/>
      <c r="I455" s="224"/>
      <c r="J455" s="224"/>
    </row>
    <row r="456" spans="3:10" customFormat="1" ht="15" x14ac:dyDescent="0.25">
      <c r="C456" s="268"/>
      <c r="D456" s="269"/>
      <c r="E456" s="326" t="s">
        <v>409</v>
      </c>
      <c r="F456" s="326"/>
      <c r="G456" s="327"/>
      <c r="H456" s="327"/>
      <c r="I456" s="327"/>
      <c r="J456" s="327"/>
    </row>
    <row r="457" spans="3:10" customFormat="1" ht="15" x14ac:dyDescent="0.25">
      <c r="C457" s="224"/>
      <c r="D457" s="224"/>
      <c r="E457" s="224" t="str">
        <f>IF(E447&lt;&gt;S444,"You did not select this option - we suggest you enter 0% in the input cell below!","For most direct lenders you will enter 100% below, indicating you will fund all of the loan")</f>
        <v>You did not select this option - we suggest you enter 0% in the input cell below!</v>
      </c>
      <c r="F457" s="224"/>
      <c r="G457" s="331"/>
      <c r="H457" s="224"/>
      <c r="I457" s="224"/>
      <c r="J457" s="224"/>
    </row>
    <row r="458" spans="3:10" customFormat="1" ht="15" x14ac:dyDescent="0.25">
      <c r="C458" s="224"/>
      <c r="D458" s="224"/>
      <c r="E458" s="224"/>
      <c r="F458" s="329" t="s">
        <v>410</v>
      </c>
      <c r="G458" s="332">
        <v>0</v>
      </c>
      <c r="H458" s="454" t="s">
        <v>411</v>
      </c>
      <c r="I458" s="420"/>
      <c r="J458" s="420"/>
    </row>
    <row r="459" spans="3:10" customFormat="1" ht="15" x14ac:dyDescent="0.25">
      <c r="C459" s="224"/>
      <c r="D459" s="224"/>
      <c r="E459" s="224"/>
      <c r="F459" s="224"/>
      <c r="G459" s="224"/>
      <c r="H459" s="224"/>
      <c r="I459" s="224"/>
      <c r="J459" s="224"/>
    </row>
    <row r="460" spans="3:10" customFormat="1" ht="15" x14ac:dyDescent="0.25">
      <c r="C460" s="224"/>
      <c r="D460" s="224"/>
      <c r="E460" s="224"/>
      <c r="F460" s="224"/>
      <c r="G460" s="224"/>
      <c r="H460" s="224"/>
      <c r="I460" s="224"/>
      <c r="J460" s="224"/>
    </row>
    <row r="461" spans="3:10" customFormat="1" ht="24.75" customHeight="1" x14ac:dyDescent="0.25">
      <c r="C461" s="268"/>
      <c r="D461" s="269"/>
      <c r="E461" s="326" t="s">
        <v>412</v>
      </c>
      <c r="F461" s="326"/>
      <c r="G461" s="327"/>
      <c r="H461" s="327"/>
      <c r="I461" s="327"/>
      <c r="J461" s="327"/>
    </row>
    <row r="462" spans="3:10" customFormat="1" ht="15" x14ac:dyDescent="0.25">
      <c r="C462" s="224"/>
      <c r="D462" s="224"/>
      <c r="E462" s="224" t="str">
        <f>IF(E447&lt;&gt;S445,"You did not select this option - we suggest you enter 0% in the input cell below!","")</f>
        <v>You did not select this option - we suggest you enter 0% in the input cell below!</v>
      </c>
      <c r="F462" s="224"/>
      <c r="G462" s="224"/>
      <c r="H462" s="224"/>
      <c r="I462" s="224"/>
      <c r="J462" s="224"/>
    </row>
    <row r="463" spans="3:10" customFormat="1" ht="15" x14ac:dyDescent="0.25">
      <c r="C463" s="224"/>
      <c r="D463" s="224"/>
      <c r="E463" s="224"/>
      <c r="F463" s="329" t="s">
        <v>413</v>
      </c>
      <c r="G463" s="332">
        <v>1</v>
      </c>
      <c r="H463" s="224"/>
      <c r="I463" s="224"/>
      <c r="J463" s="224"/>
    </row>
    <row r="464" spans="3:10" customFormat="1" ht="15" x14ac:dyDescent="0.25">
      <c r="C464" s="224"/>
      <c r="D464" s="224"/>
      <c r="E464" s="224"/>
      <c r="F464" s="329" t="s">
        <v>414</v>
      </c>
      <c r="G464" s="333">
        <v>4</v>
      </c>
      <c r="H464" s="454" t="s">
        <v>415</v>
      </c>
      <c r="I464" s="420"/>
      <c r="J464" s="420"/>
    </row>
    <row r="465" spans="1:17" customFormat="1" ht="15" x14ac:dyDescent="0.25"/>
    <row r="466" spans="1:17" customFormat="1" ht="15" x14ac:dyDescent="0.25"/>
    <row r="470" spans="1:17" ht="15" x14ac:dyDescent="0.2">
      <c r="A470" s="221"/>
      <c r="B470" s="222"/>
      <c r="C470" s="408" t="s">
        <v>416</v>
      </c>
      <c r="D470" s="423"/>
      <c r="E470" s="423"/>
      <c r="F470" s="423"/>
      <c r="G470" s="423"/>
      <c r="H470" s="423"/>
      <c r="I470" s="423"/>
      <c r="J470" s="423"/>
      <c r="K470" s="423"/>
      <c r="L470" s="423"/>
      <c r="M470" s="423"/>
      <c r="N470" s="423"/>
      <c r="O470" s="423"/>
    </row>
    <row r="471" spans="1:17" ht="15" customHeight="1" x14ac:dyDescent="0.25">
      <c r="A471" s="221"/>
      <c r="B471" s="222"/>
      <c r="C471" s="423"/>
      <c r="D471" s="423"/>
      <c r="E471" s="423"/>
      <c r="F471" s="423"/>
      <c r="G471" s="423"/>
      <c r="H471" s="423"/>
      <c r="I471" s="423"/>
      <c r="J471" s="423"/>
      <c r="K471" s="423"/>
      <c r="L471" s="423"/>
      <c r="M471" s="423"/>
      <c r="N471" s="423"/>
      <c r="O471" s="423"/>
      <c r="P471"/>
      <c r="Q471"/>
    </row>
    <row r="472" spans="1:17" ht="15" x14ac:dyDescent="0.25">
      <c r="A472" s="223"/>
      <c r="B472" s="224"/>
      <c r="C472" s="224"/>
      <c r="D472" s="224"/>
      <c r="E472" s="224"/>
      <c r="F472" s="224"/>
      <c r="G472" s="224"/>
      <c r="H472" s="224"/>
      <c r="I472" s="224"/>
      <c r="J472" s="224"/>
      <c r="K472" s="224"/>
      <c r="L472" s="224"/>
      <c r="M472" s="224"/>
      <c r="N472" s="224"/>
      <c r="O472" s="224"/>
      <c r="P472"/>
      <c r="Q472"/>
    </row>
    <row r="473" spans="1:17" ht="15" x14ac:dyDescent="0.25">
      <c r="A473" s="266"/>
      <c r="B473" s="267"/>
      <c r="C473" s="267"/>
      <c r="D473" s="267"/>
      <c r="E473" s="267"/>
      <c r="F473" s="267"/>
      <c r="G473" s="267"/>
      <c r="H473" s="267"/>
      <c r="I473" s="267"/>
      <c r="J473" s="267"/>
      <c r="K473" s="267"/>
      <c r="L473" s="267"/>
      <c r="M473" s="267"/>
      <c r="N473" s="267"/>
      <c r="O473" s="267"/>
      <c r="P473"/>
      <c r="Q473"/>
    </row>
    <row r="474" spans="1:17" ht="15" x14ac:dyDescent="0.25">
      <c r="A474" s="264"/>
      <c r="B474" s="265"/>
      <c r="C474" s="265"/>
      <c r="D474" s="265"/>
      <c r="E474" s="265"/>
      <c r="F474" s="265"/>
      <c r="G474" s="265"/>
      <c r="H474" s="265"/>
      <c r="I474" s="265"/>
      <c r="J474" s="265"/>
      <c r="K474" s="265"/>
      <c r="L474" s="265"/>
      <c r="M474" s="265"/>
      <c r="N474" s="265"/>
      <c r="O474" s="265"/>
      <c r="P474"/>
      <c r="Q474"/>
    </row>
    <row r="475" spans="1:17" customFormat="1" ht="15" x14ac:dyDescent="0.25">
      <c r="A475" s="268"/>
      <c r="B475" s="269"/>
      <c r="C475" s="326" t="s">
        <v>417</v>
      </c>
      <c r="D475" s="326"/>
      <c r="E475" s="327"/>
      <c r="F475" s="327"/>
      <c r="G475" s="327"/>
      <c r="H475" s="327"/>
      <c r="I475" s="327"/>
      <c r="J475" s="327"/>
      <c r="K475" s="327"/>
      <c r="L475" s="334"/>
      <c r="M475" s="326"/>
      <c r="N475" s="326"/>
      <c r="O475" s="326"/>
    </row>
    <row r="476" spans="1:17" customFormat="1" ht="15" x14ac:dyDescent="0.25">
      <c r="A476" s="270"/>
      <c r="B476" s="271"/>
      <c r="C476" s="224"/>
      <c r="D476" s="224"/>
      <c r="E476" s="224"/>
      <c r="F476" s="224"/>
      <c r="G476" s="224"/>
      <c r="H476" s="224"/>
      <c r="I476" s="224"/>
      <c r="J476" s="224"/>
      <c r="K476" s="224"/>
      <c r="L476" s="224"/>
      <c r="M476" s="224"/>
      <c r="N476" s="224"/>
      <c r="O476" s="224"/>
    </row>
    <row r="477" spans="1:17" customFormat="1" ht="45" x14ac:dyDescent="0.25">
      <c r="A477" s="270"/>
      <c r="B477" s="271"/>
      <c r="C477" s="445" t="s">
        <v>418</v>
      </c>
      <c r="D477" s="445"/>
      <c r="E477" s="335" t="s">
        <v>419</v>
      </c>
      <c r="F477" s="335" t="s">
        <v>420</v>
      </c>
      <c r="G477" s="335" t="s">
        <v>421</v>
      </c>
      <c r="H477" s="335" t="s">
        <v>422</v>
      </c>
      <c r="I477" s="335" t="s">
        <v>423</v>
      </c>
      <c r="J477" s="335" t="s">
        <v>424</v>
      </c>
      <c r="K477" s="335" t="s">
        <v>425</v>
      </c>
      <c r="L477" s="335" t="s">
        <v>426</v>
      </c>
      <c r="M477" s="335" t="s">
        <v>427</v>
      </c>
      <c r="N477" s="335" t="s">
        <v>428</v>
      </c>
      <c r="O477" s="335" t="s">
        <v>429</v>
      </c>
    </row>
    <row r="478" spans="1:17" customFormat="1" ht="15" x14ac:dyDescent="0.25">
      <c r="A478" s="270"/>
      <c r="B478" s="271"/>
      <c r="C478" s="224"/>
      <c r="D478" s="224"/>
      <c r="E478" s="224"/>
      <c r="F478" s="224"/>
      <c r="G478" s="224"/>
      <c r="H478" s="224"/>
      <c r="I478" s="224"/>
      <c r="J478" s="224"/>
      <c r="K478" s="224"/>
      <c r="L478" s="224"/>
      <c r="M478" s="224"/>
      <c r="N478" s="224"/>
      <c r="O478" s="224"/>
    </row>
    <row r="479" spans="1:17" customFormat="1" ht="15" x14ac:dyDescent="0.25">
      <c r="A479" s="270"/>
      <c r="B479" s="271"/>
      <c r="C479" s="336" t="s">
        <v>430</v>
      </c>
      <c r="D479" s="224"/>
      <c r="E479" s="337">
        <v>250000</v>
      </c>
      <c r="F479" s="338">
        <v>0.04</v>
      </c>
      <c r="G479" s="338">
        <v>6.0000000000000001E-3</v>
      </c>
      <c r="H479" s="339">
        <v>360</v>
      </c>
      <c r="I479" s="340">
        <f>PMT((F479+G479)/12,H479,-E479)</f>
        <v>1281.6109205244741</v>
      </c>
      <c r="J479" s="341">
        <v>680</v>
      </c>
      <c r="K479" s="338">
        <v>0.96499999999999997</v>
      </c>
      <c r="L479" s="338">
        <v>0.35</v>
      </c>
      <c r="M479" s="342">
        <f>12*(I479/L479)</f>
        <v>43940.945846553397</v>
      </c>
      <c r="N479" s="343">
        <f>1-K479</f>
        <v>3.5000000000000031E-2</v>
      </c>
      <c r="O479" s="342">
        <f>(E479/K479)*N479</f>
        <v>9067.3575129533765</v>
      </c>
    </row>
    <row r="480" spans="1:17" customFormat="1" ht="15" x14ac:dyDescent="0.25">
      <c r="A480" s="270"/>
      <c r="B480" s="271"/>
      <c r="C480" s="224"/>
      <c r="D480" s="224"/>
      <c r="E480" s="344"/>
      <c r="F480" s="345"/>
      <c r="G480" s="346"/>
      <c r="H480" s="347"/>
      <c r="I480" s="348"/>
      <c r="J480" s="345"/>
      <c r="K480" s="345"/>
      <c r="L480" s="345"/>
      <c r="M480" s="224"/>
      <c r="N480" s="224"/>
      <c r="O480" s="224"/>
    </row>
    <row r="481" spans="1:15" customFormat="1" ht="15" customHeight="1" x14ac:dyDescent="0.25">
      <c r="A481" s="270"/>
      <c r="B481" s="271"/>
      <c r="C481" s="224"/>
      <c r="D481" s="224"/>
      <c r="E481" s="446" t="s">
        <v>431</v>
      </c>
      <c r="F481" s="446"/>
      <c r="G481" s="446"/>
      <c r="H481" s="446"/>
      <c r="I481" s="446"/>
      <c r="J481" s="446"/>
      <c r="K481" s="446"/>
      <c r="L481" s="446"/>
      <c r="M481" s="446"/>
      <c r="N481" s="224"/>
      <c r="O481" s="224"/>
    </row>
    <row r="482" spans="1:15" customFormat="1" ht="15" x14ac:dyDescent="0.25">
      <c r="A482" s="270"/>
      <c r="B482" s="271"/>
      <c r="C482" s="224"/>
      <c r="D482" s="224"/>
      <c r="E482" s="446"/>
      <c r="F482" s="446"/>
      <c r="G482" s="446"/>
      <c r="H482" s="446"/>
      <c r="I482" s="446"/>
      <c r="J482" s="446"/>
      <c r="K482" s="446"/>
      <c r="L482" s="446"/>
      <c r="M482" s="446"/>
      <c r="N482" s="224"/>
      <c r="O482" s="224"/>
    </row>
    <row r="483" spans="1:15" customFormat="1" ht="15" x14ac:dyDescent="0.25">
      <c r="A483" s="270"/>
      <c r="B483" s="271"/>
      <c r="C483" s="224"/>
      <c r="D483" s="224"/>
      <c r="E483" s="446"/>
      <c r="F483" s="446"/>
      <c r="G483" s="446"/>
      <c r="H483" s="446"/>
      <c r="I483" s="446"/>
      <c r="J483" s="446"/>
      <c r="K483" s="446"/>
      <c r="L483" s="446"/>
      <c r="M483" s="446"/>
      <c r="N483" s="224"/>
      <c r="O483" s="224"/>
    </row>
    <row r="484" spans="1:15" customFormat="1" ht="15" x14ac:dyDescent="0.25">
      <c r="A484" s="270"/>
      <c r="B484" s="271"/>
      <c r="C484" s="224"/>
      <c r="D484" s="224"/>
      <c r="E484" s="446"/>
      <c r="F484" s="446"/>
      <c r="G484" s="446"/>
      <c r="H484" s="446"/>
      <c r="I484" s="446"/>
      <c r="J484" s="446"/>
      <c r="K484" s="446"/>
      <c r="L484" s="446"/>
      <c r="M484" s="446"/>
      <c r="N484" s="224"/>
      <c r="O484" s="224"/>
    </row>
    <row r="485" spans="1:15" customFormat="1" ht="15" x14ac:dyDescent="0.25">
      <c r="A485" s="270"/>
      <c r="B485" s="271"/>
      <c r="C485" s="224"/>
      <c r="D485" s="224"/>
      <c r="E485" s="446"/>
      <c r="F485" s="446"/>
      <c r="G485" s="446"/>
      <c r="H485" s="446"/>
      <c r="I485" s="446"/>
      <c r="J485" s="446"/>
      <c r="K485" s="446"/>
      <c r="L485" s="446"/>
      <c r="M485" s="446"/>
      <c r="N485" s="224"/>
      <c r="O485" s="224"/>
    </row>
    <row r="486" spans="1:15" customFormat="1" ht="15" x14ac:dyDescent="0.25">
      <c r="A486" s="270"/>
      <c r="B486" s="271"/>
      <c r="C486" s="224"/>
      <c r="D486" s="224"/>
      <c r="E486" s="224"/>
      <c r="F486" s="224"/>
      <c r="G486" s="224"/>
      <c r="H486" s="224"/>
      <c r="I486" s="224"/>
      <c r="J486" s="224"/>
      <c r="K486" s="224"/>
      <c r="L486" s="224"/>
      <c r="M486" s="224"/>
      <c r="N486" s="224"/>
      <c r="O486" s="224"/>
    </row>
    <row r="487" spans="1:15" customFormat="1" ht="45" x14ac:dyDescent="0.25">
      <c r="A487" s="270"/>
      <c r="B487" s="271"/>
      <c r="C487" s="445" t="s">
        <v>432</v>
      </c>
      <c r="D487" s="445"/>
      <c r="E487" s="335" t="s">
        <v>433</v>
      </c>
      <c r="F487" s="335" t="str">
        <f t="shared" ref="F487:O487" si="2">F477</f>
        <v xml:space="preserve">Annual Interest Rate </v>
      </c>
      <c r="G487" s="335" t="str">
        <f t="shared" si="2"/>
        <v>PMI if applicable (%)</v>
      </c>
      <c r="H487" s="335" t="str">
        <f t="shared" si="2"/>
        <v>Term in Months</v>
      </c>
      <c r="I487" s="335" t="str">
        <f t="shared" si="2"/>
        <v>Monthly Payment</v>
      </c>
      <c r="J487" s="335" t="str">
        <f t="shared" si="2"/>
        <v>Borrower Credit Score</v>
      </c>
      <c r="K487" s="335" t="str">
        <f t="shared" si="2"/>
        <v>Maximum Borrower LTV</v>
      </c>
      <c r="L487" s="335" t="str">
        <f t="shared" si="2"/>
        <v>Debt Service to Income</v>
      </c>
      <c r="M487" s="335" t="str">
        <f t="shared" si="2"/>
        <v>Borrower Annual Income $</v>
      </c>
      <c r="N487" s="335" t="str">
        <f t="shared" si="2"/>
        <v>Borrower Equity Required %</v>
      </c>
      <c r="O487" s="335" t="str">
        <f t="shared" si="2"/>
        <v>Borrower Equity Required $</v>
      </c>
    </row>
    <row r="488" spans="1:15" customFormat="1" ht="15" x14ac:dyDescent="0.25">
      <c r="A488" s="270"/>
      <c r="B488" s="271"/>
      <c r="C488" s="224"/>
      <c r="D488" s="224"/>
      <c r="E488" s="335"/>
      <c r="F488" s="335"/>
      <c r="G488" s="335"/>
      <c r="H488" s="335"/>
      <c r="I488" s="335"/>
      <c r="J488" s="335"/>
      <c r="K488" s="335"/>
      <c r="L488" s="335"/>
      <c r="M488" s="335"/>
      <c r="N488" s="224"/>
      <c r="O488" s="224"/>
    </row>
    <row r="489" spans="1:15" customFormat="1" ht="15" x14ac:dyDescent="0.25">
      <c r="A489" s="270"/>
      <c r="B489" s="271"/>
      <c r="C489" s="349" t="s">
        <v>434</v>
      </c>
      <c r="D489" s="224"/>
      <c r="E489" s="350">
        <f>E$13</f>
        <v>0</v>
      </c>
      <c r="F489" s="351">
        <v>0.04</v>
      </c>
      <c r="G489" s="351">
        <v>6.0000000000000001E-3</v>
      </c>
      <c r="H489" s="352">
        <v>360</v>
      </c>
      <c r="I489" s="340">
        <f>PMT((F489+G489)/12,H489,-E489)</f>
        <v>0</v>
      </c>
      <c r="J489" s="341">
        <v>600</v>
      </c>
      <c r="K489" s="353">
        <f>1-N489</f>
        <v>0</v>
      </c>
      <c r="L489" s="353">
        <f>(12*I489)/M489</f>
        <v>0</v>
      </c>
      <c r="M489" s="354">
        <v>34000</v>
      </c>
      <c r="N489" s="353">
        <f>O489/(O489+E489)</f>
        <v>1</v>
      </c>
      <c r="O489" s="355">
        <v>1250</v>
      </c>
    </row>
    <row r="490" spans="1:15" customFormat="1" ht="15" x14ac:dyDescent="0.25">
      <c r="A490" s="270"/>
      <c r="B490" s="271"/>
      <c r="C490" s="271"/>
      <c r="D490" s="271"/>
      <c r="E490" s="356"/>
      <c r="F490" s="357"/>
      <c r="G490" s="357"/>
      <c r="H490" s="347"/>
    </row>
    <row r="491" spans="1:15" customFormat="1" ht="15" x14ac:dyDescent="0.25">
      <c r="A491" s="270"/>
      <c r="B491" s="271"/>
      <c r="C491" s="271"/>
      <c r="D491" s="271"/>
      <c r="E491" s="356"/>
      <c r="F491" s="357"/>
      <c r="G491" s="357"/>
      <c r="H491" s="347"/>
      <c r="I491" s="271"/>
      <c r="J491" s="271"/>
      <c r="K491" s="271"/>
      <c r="L491" s="271"/>
      <c r="M491" s="271"/>
      <c r="N491" s="271"/>
      <c r="O491" s="271"/>
    </row>
    <row r="492" spans="1:15" customFormat="1" ht="15" customHeight="1" x14ac:dyDescent="0.25">
      <c r="A492" s="270"/>
      <c r="B492" s="271"/>
      <c r="C492" s="271"/>
      <c r="D492" s="271"/>
      <c r="E492" s="446" t="s">
        <v>435</v>
      </c>
      <c r="F492" s="446"/>
      <c r="G492" s="446"/>
      <c r="H492" s="446"/>
      <c r="I492" s="446"/>
      <c r="J492" s="446"/>
      <c r="K492" s="446"/>
      <c r="L492" s="446"/>
      <c r="M492" s="446"/>
      <c r="N492" s="271"/>
      <c r="O492" s="224"/>
    </row>
    <row r="493" spans="1:15" customFormat="1" ht="15" x14ac:dyDescent="0.25">
      <c r="A493" s="270"/>
      <c r="B493" s="271"/>
      <c r="C493" s="271"/>
      <c r="D493" s="271"/>
      <c r="E493" s="446"/>
      <c r="F493" s="446"/>
      <c r="G493" s="446"/>
      <c r="H493" s="446"/>
      <c r="I493" s="446"/>
      <c r="J493" s="446"/>
      <c r="K493" s="446"/>
      <c r="L493" s="446"/>
      <c r="M493" s="446"/>
      <c r="N493" s="271"/>
      <c r="O493" s="224"/>
    </row>
    <row r="494" spans="1:15" customFormat="1" ht="15" x14ac:dyDescent="0.25">
      <c r="A494" s="270"/>
      <c r="B494" s="271"/>
      <c r="C494" s="271"/>
      <c r="D494" s="271"/>
      <c r="E494" s="446"/>
      <c r="F494" s="446"/>
      <c r="G494" s="446"/>
      <c r="H494" s="446"/>
      <c r="I494" s="446"/>
      <c r="J494" s="446"/>
      <c r="K494" s="446"/>
      <c r="L494" s="446"/>
      <c r="M494" s="446"/>
      <c r="N494" s="271"/>
      <c r="O494" s="224"/>
    </row>
    <row r="495" spans="1:15" customFormat="1" ht="15" x14ac:dyDescent="0.25">
      <c r="A495" s="270"/>
      <c r="B495" s="271"/>
      <c r="C495" s="271"/>
      <c r="D495" s="271"/>
      <c r="E495" s="446"/>
      <c r="F495" s="446"/>
      <c r="G495" s="446"/>
      <c r="H495" s="446"/>
      <c r="I495" s="446"/>
      <c r="J495" s="446"/>
      <c r="K495" s="446"/>
      <c r="L495" s="446"/>
      <c r="M495" s="446"/>
      <c r="N495" s="271"/>
      <c r="O495" s="224"/>
    </row>
    <row r="496" spans="1:15" customFormat="1" ht="15" x14ac:dyDescent="0.25">
      <c r="A496" s="270"/>
      <c r="B496" s="271"/>
      <c r="C496" s="271"/>
      <c r="D496" s="271"/>
      <c r="E496" s="446"/>
      <c r="F496" s="446"/>
      <c r="G496" s="446"/>
      <c r="H496" s="446"/>
      <c r="I496" s="446"/>
      <c r="J496" s="446"/>
      <c r="K496" s="446"/>
      <c r="L496" s="446"/>
      <c r="M496" s="446"/>
      <c r="N496" s="271"/>
      <c r="O496" s="224"/>
    </row>
    <row r="497" spans="1:15" customFormat="1" ht="15" x14ac:dyDescent="0.25">
      <c r="A497" s="270"/>
      <c r="B497" s="271"/>
      <c r="C497" s="271"/>
      <c r="D497" s="271"/>
      <c r="E497" s="446"/>
      <c r="F497" s="446"/>
      <c r="G497" s="446"/>
      <c r="H497" s="446"/>
      <c r="I497" s="446"/>
      <c r="J497" s="446"/>
      <c r="K497" s="446"/>
      <c r="L497" s="446"/>
      <c r="M497" s="446"/>
      <c r="N497" s="271"/>
      <c r="O497" s="224"/>
    </row>
    <row r="498" spans="1:15" customFormat="1" ht="15" customHeight="1" x14ac:dyDescent="0.25">
      <c r="A498" s="270"/>
      <c r="B498" s="271"/>
      <c r="C498" s="271"/>
      <c r="D498" s="271"/>
      <c r="E498" s="446" t="s">
        <v>436</v>
      </c>
      <c r="F498" s="446"/>
      <c r="G498" s="446"/>
      <c r="H498" s="446"/>
      <c r="I498" s="446"/>
      <c r="J498" s="446"/>
      <c r="K498" s="446"/>
      <c r="L498" s="446"/>
      <c r="M498" s="446"/>
      <c r="N498" s="271"/>
      <c r="O498" s="224"/>
    </row>
    <row r="499" spans="1:15" customFormat="1" ht="15" x14ac:dyDescent="0.25">
      <c r="A499" s="270"/>
      <c r="B499" s="271"/>
      <c r="C499" s="271"/>
      <c r="D499" s="271"/>
      <c r="E499" s="446"/>
      <c r="F499" s="446"/>
      <c r="G499" s="446"/>
      <c r="H499" s="446"/>
      <c r="I499" s="446"/>
      <c r="J499" s="446"/>
      <c r="K499" s="446"/>
      <c r="L499" s="446"/>
      <c r="M499" s="446"/>
      <c r="N499" s="271"/>
      <c r="O499" s="224"/>
    </row>
    <row r="500" spans="1:15" customFormat="1" ht="15" x14ac:dyDescent="0.25">
      <c r="A500" s="270"/>
      <c r="B500" s="271"/>
      <c r="C500" s="271"/>
      <c r="D500" s="271"/>
      <c r="E500" s="446"/>
      <c r="F500" s="446"/>
      <c r="G500" s="446"/>
      <c r="H500" s="446"/>
      <c r="I500" s="446"/>
      <c r="J500" s="446"/>
      <c r="K500" s="446"/>
      <c r="L500" s="446"/>
      <c r="M500" s="446"/>
      <c r="N500" s="271"/>
      <c r="O500" s="224"/>
    </row>
    <row r="501" spans="1:15" customFormat="1" ht="15" customHeight="1" x14ac:dyDescent="0.25">
      <c r="A501" s="270"/>
      <c r="B501" s="271"/>
      <c r="C501" s="271"/>
      <c r="D501" s="271"/>
      <c r="E501" s="449" t="s">
        <v>437</v>
      </c>
      <c r="F501" s="446"/>
      <c r="G501" s="446"/>
      <c r="H501" s="446"/>
      <c r="I501" s="446"/>
      <c r="J501" s="446"/>
      <c r="K501" s="446"/>
      <c r="L501" s="446"/>
      <c r="M501" s="446"/>
      <c r="N501" s="271"/>
      <c r="O501" s="224"/>
    </row>
    <row r="502" spans="1:15" customFormat="1" ht="15" x14ac:dyDescent="0.25">
      <c r="A502" s="270"/>
      <c r="B502" s="271"/>
      <c r="C502" s="271"/>
      <c r="D502" s="271"/>
      <c r="E502" s="446"/>
      <c r="F502" s="446"/>
      <c r="G502" s="446"/>
      <c r="H502" s="446"/>
      <c r="I502" s="446"/>
      <c r="J502" s="446"/>
      <c r="K502" s="446"/>
      <c r="L502" s="446"/>
      <c r="M502" s="446"/>
      <c r="N502" s="271"/>
      <c r="O502" s="224"/>
    </row>
    <row r="503" spans="1:15" customFormat="1" ht="15" x14ac:dyDescent="0.25"/>
    <row r="504" spans="1:15" customFormat="1" ht="15" x14ac:dyDescent="0.25"/>
    <row r="505" spans="1:15" customFormat="1" ht="15" x14ac:dyDescent="0.25"/>
    <row r="506" spans="1:15" customFormat="1" ht="15" x14ac:dyDescent="0.25"/>
    <row r="507" spans="1:15" customFormat="1" ht="15" x14ac:dyDescent="0.25"/>
    <row r="511" spans="1:15" customFormat="1" ht="15" x14ac:dyDescent="0.25">
      <c r="A511" s="272"/>
      <c r="B511" s="165"/>
      <c r="C511" s="408" t="s">
        <v>438</v>
      </c>
      <c r="D511" s="409"/>
      <c r="E511" s="409"/>
      <c r="F511" s="409"/>
      <c r="G511" s="409"/>
      <c r="H511" s="409"/>
      <c r="I511" s="409"/>
      <c r="J511" s="409"/>
      <c r="K511" s="409"/>
      <c r="L511" s="410"/>
      <c r="M511" s="410"/>
      <c r="N511" s="165"/>
      <c r="O511" s="165"/>
    </row>
    <row r="512" spans="1:15" customFormat="1" ht="15" x14ac:dyDescent="0.25">
      <c r="A512" s="272"/>
      <c r="B512" s="165"/>
      <c r="C512" s="409"/>
      <c r="D512" s="409"/>
      <c r="E512" s="409"/>
      <c r="F512" s="409"/>
      <c r="G512" s="409"/>
      <c r="H512" s="409"/>
      <c r="I512" s="409"/>
      <c r="J512" s="409"/>
      <c r="K512" s="409"/>
      <c r="L512" s="410"/>
      <c r="M512" s="410"/>
      <c r="N512" s="165"/>
      <c r="O512" s="165"/>
    </row>
    <row r="513" spans="1:15" customFormat="1" ht="15" x14ac:dyDescent="0.25">
      <c r="A513" s="273"/>
      <c r="B513" s="112"/>
      <c r="C513" s="112"/>
      <c r="D513" s="112"/>
      <c r="E513" s="112"/>
      <c r="F513" s="112"/>
      <c r="G513" s="112"/>
      <c r="H513" s="112"/>
      <c r="I513" s="112"/>
      <c r="J513" s="112"/>
      <c r="K513" s="112"/>
      <c r="L513" s="112"/>
      <c r="M513" s="112"/>
      <c r="N513" s="112"/>
      <c r="O513" s="112"/>
    </row>
    <row r="514" spans="1:15" customFormat="1" ht="15" x14ac:dyDescent="0.25">
      <c r="A514" s="173"/>
      <c r="B514" s="164"/>
      <c r="C514" s="164"/>
      <c r="D514" s="164"/>
      <c r="E514" s="164"/>
      <c r="F514" s="164"/>
      <c r="G514" s="164"/>
      <c r="H514" s="164"/>
      <c r="I514" s="164"/>
      <c r="J514" s="164"/>
      <c r="K514" s="164"/>
      <c r="L514" s="164"/>
      <c r="M514" s="164"/>
      <c r="N514" s="164"/>
      <c r="O514" s="164"/>
    </row>
    <row r="515" spans="1:15" customFormat="1" ht="15" x14ac:dyDescent="0.25">
      <c r="A515" s="112"/>
      <c r="B515" s="112"/>
      <c r="C515" s="112"/>
      <c r="D515" s="112"/>
      <c r="E515" s="112"/>
      <c r="F515" s="112"/>
      <c r="G515" s="112"/>
      <c r="H515" s="112"/>
      <c r="I515" s="112"/>
      <c r="J515" s="112"/>
      <c r="K515" s="112"/>
      <c r="L515" s="112"/>
      <c r="M515" s="112"/>
      <c r="N515" s="112"/>
      <c r="O515" s="112"/>
    </row>
    <row r="516" spans="1:15" customFormat="1" ht="15" x14ac:dyDescent="0.25">
      <c r="A516" s="55"/>
      <c r="B516" s="274"/>
      <c r="C516" s="167" t="s">
        <v>439</v>
      </c>
      <c r="D516" s="167"/>
      <c r="E516" s="275"/>
      <c r="F516" s="275"/>
      <c r="G516" s="275"/>
      <c r="H516" s="275"/>
      <c r="I516" s="275"/>
      <c r="J516" s="275"/>
      <c r="K516" s="275"/>
      <c r="L516" s="276"/>
      <c r="M516" s="167"/>
      <c r="N516" s="167"/>
      <c r="O516" s="167"/>
    </row>
    <row r="517" spans="1:15" customFormat="1" ht="15" x14ac:dyDescent="0.25">
      <c r="A517" s="74"/>
      <c r="B517" s="74"/>
      <c r="C517" s="271"/>
      <c r="D517" s="271"/>
      <c r="E517" s="374">
        <f>'M2'!E541</f>
        <v>2016</v>
      </c>
      <c r="F517" s="374">
        <f>'M2'!F541</f>
        <v>2017</v>
      </c>
      <c r="G517" s="374">
        <f>'M2'!G541</f>
        <v>2018</v>
      </c>
      <c r="H517" s="374">
        <f>'M2'!H541</f>
        <v>2019</v>
      </c>
      <c r="I517" s="374">
        <f>'M2'!I541</f>
        <v>2020</v>
      </c>
      <c r="J517" s="374">
        <f>'M2'!J541</f>
        <v>2021</v>
      </c>
      <c r="K517" s="374">
        <f>'M2'!K541</f>
        <v>2022</v>
      </c>
      <c r="L517" s="374">
        <f>'M2'!L541</f>
        <v>2023</v>
      </c>
      <c r="M517" s="374">
        <f>'M2'!M541</f>
        <v>2024</v>
      </c>
      <c r="N517" s="374">
        <f>'M2'!N541</f>
        <v>2025</v>
      </c>
      <c r="O517" s="271"/>
    </row>
    <row r="518" spans="1:15" customFormat="1" ht="15" x14ac:dyDescent="0.25">
      <c r="A518" s="74"/>
      <c r="B518" s="74"/>
      <c r="C518" s="370" t="s">
        <v>440</v>
      </c>
      <c r="D518" s="369"/>
      <c r="E518" s="373"/>
      <c r="F518" s="373"/>
      <c r="G518" s="373"/>
      <c r="H518" s="373"/>
      <c r="I518" s="373"/>
      <c r="J518" s="373"/>
      <c r="K518" s="373"/>
      <c r="L518" s="373"/>
      <c r="M518" s="373"/>
      <c r="N518" s="373"/>
    </row>
    <row r="519" spans="1:15" customFormat="1" ht="15" x14ac:dyDescent="0.25">
      <c r="A519" s="74"/>
      <c r="B519" s="74"/>
      <c r="C519" s="372" t="s">
        <v>441</v>
      </c>
      <c r="D519" s="371"/>
      <c r="E519" s="361">
        <f>'M2'!D722+'M2'!D744</f>
        <v>109997304.03966682</v>
      </c>
      <c r="F519" s="361">
        <f>'M2'!E722+'M2'!E744</f>
        <v>413475441.48646528</v>
      </c>
      <c r="G519" s="361">
        <f>'M2'!F722+'M2'!F744</f>
        <v>1408420576.7255445</v>
      </c>
      <c r="H519" s="361">
        <f>'M2'!G722+'M2'!G744</f>
        <v>2706343574.8667688</v>
      </c>
      <c r="I519" s="361">
        <f>'M2'!H722+'M2'!H744</f>
        <v>4177390901.3336387</v>
      </c>
      <c r="J519" s="361">
        <f>'M2'!I722+'M2'!I744</f>
        <v>5144941549.5938387</v>
      </c>
      <c r="K519" s="361">
        <f>'M2'!J722+'M2'!J744</f>
        <v>5763847578.4166946</v>
      </c>
      <c r="L519" s="361">
        <f>'M2'!K722+'M2'!K744</f>
        <v>5490447382.6110907</v>
      </c>
      <c r="M519" s="361">
        <f>'M2'!L722+'M2'!L744</f>
        <v>5053597957.8371286</v>
      </c>
      <c r="N519" s="361">
        <f>'M2'!M722+'M2'!M744</f>
        <v>5164725966.594429</v>
      </c>
    </row>
    <row r="520" spans="1:15" customFormat="1" ht="15" x14ac:dyDescent="0.25">
      <c r="A520" s="74"/>
      <c r="B520" s="74"/>
      <c r="C520" s="363" t="s">
        <v>442</v>
      </c>
      <c r="D520" s="371"/>
      <c r="E520" s="361">
        <f>'M2'!D714</f>
        <v>1375000</v>
      </c>
      <c r="F520" s="361">
        <f>'M2'!E714</f>
        <v>6049336.093391154</v>
      </c>
      <c r="G520" s="361">
        <f>'M2'!F714</f>
        <v>20406594.848563548</v>
      </c>
      <c r="H520" s="361">
        <f>'M2'!G714</f>
        <v>24297042.126912136</v>
      </c>
      <c r="I520" s="361">
        <f>'M2'!H714</f>
        <v>21926895.676063545</v>
      </c>
      <c r="J520" s="361">
        <f>'M2'!I714</f>
        <v>1405649.6417171359</v>
      </c>
      <c r="K520" s="361">
        <f>'M2'!J714</f>
        <v>-16399704.675560683</v>
      </c>
      <c r="L520" s="361">
        <f>'M2'!K714</f>
        <v>-41663528.767904207</v>
      </c>
      <c r="M520" s="361">
        <f>'M2'!L714</f>
        <v>-43202173.381389886</v>
      </c>
      <c r="N520" s="361">
        <f>'M2'!M714</f>
        <v>-22343058.060583472</v>
      </c>
    </row>
    <row r="521" spans="1:15" customFormat="1" ht="15" x14ac:dyDescent="0.25">
      <c r="A521" s="74"/>
      <c r="B521" s="74"/>
      <c r="C521" s="370" t="s">
        <v>443</v>
      </c>
      <c r="D521" s="369"/>
      <c r="E521" s="369"/>
      <c r="F521" s="369"/>
      <c r="G521" s="369"/>
      <c r="H521" s="369"/>
      <c r="I521" s="369"/>
      <c r="J521" s="369"/>
      <c r="K521" s="369"/>
      <c r="L521" s="369"/>
      <c r="M521" s="369"/>
      <c r="N521" s="369"/>
    </row>
    <row r="522" spans="1:15" customFormat="1" ht="15" x14ac:dyDescent="0.25">
      <c r="A522" s="74"/>
      <c r="B522" s="74"/>
      <c r="C522" s="368" t="s">
        <v>444</v>
      </c>
      <c r="D522" s="367"/>
      <c r="E522" s="332">
        <v>0.08</v>
      </c>
      <c r="F522" s="366"/>
      <c r="G522" s="269"/>
      <c r="H522" s="269"/>
      <c r="I522" s="269"/>
      <c r="J522" s="269"/>
      <c r="K522" s="269"/>
      <c r="L522" s="269"/>
      <c r="M522" s="269"/>
      <c r="N522" s="269"/>
      <c r="O522" s="269"/>
    </row>
    <row r="523" spans="1:15" customFormat="1" ht="15" x14ac:dyDescent="0.25">
      <c r="A523" s="74"/>
      <c r="B523" s="74"/>
      <c r="C523" s="365" t="s">
        <v>445</v>
      </c>
      <c r="D523" s="364"/>
      <c r="E523" s="361">
        <f>NPV(E522,'M2'!D727:M727)</f>
        <v>214246530.92935386</v>
      </c>
      <c r="F523" s="360"/>
      <c r="G523" s="359"/>
      <c r="H523" s="359"/>
      <c r="I523" s="359"/>
      <c r="J523" s="359"/>
      <c r="K523" s="359"/>
      <c r="L523" s="359"/>
      <c r="M523" s="359"/>
      <c r="N523" s="359"/>
      <c r="O523" s="359"/>
    </row>
    <row r="524" spans="1:15" customFormat="1" ht="15" x14ac:dyDescent="0.25">
      <c r="A524" s="74"/>
      <c r="B524" s="74"/>
      <c r="C524" s="363" t="s">
        <v>446</v>
      </c>
      <c r="D524" s="362"/>
      <c r="E524" s="361">
        <f>NPV(E522,'M2'!D714:M714)</f>
        <v>-7712762.4778969483</v>
      </c>
      <c r="F524" s="360"/>
      <c r="G524" s="359"/>
      <c r="H524" s="359"/>
      <c r="I524" s="359"/>
      <c r="J524" s="359"/>
      <c r="K524" s="359"/>
      <c r="L524" s="359"/>
      <c r="M524" s="359"/>
      <c r="N524" s="359"/>
      <c r="O524" s="359"/>
    </row>
    <row r="525" spans="1:15" customFormat="1" ht="15" x14ac:dyDescent="0.25">
      <c r="A525" s="42"/>
      <c r="B525" s="42"/>
      <c r="C525" s="224"/>
      <c r="D525" s="224"/>
      <c r="E525" s="224"/>
      <c r="F525" s="224"/>
      <c r="G525" s="224"/>
      <c r="H525" s="224"/>
      <c r="I525" s="224"/>
      <c r="J525" s="224"/>
      <c r="K525" s="224"/>
      <c r="L525" s="224"/>
      <c r="M525" s="224"/>
      <c r="N525" s="224"/>
      <c r="O525" s="224"/>
    </row>
    <row r="526" spans="1:15" customFormat="1" ht="15" x14ac:dyDescent="0.25">
      <c r="A526" s="42"/>
      <c r="B526" s="42"/>
      <c r="C526" s="42"/>
      <c r="D526" s="42"/>
      <c r="E526" s="42"/>
      <c r="F526" s="42"/>
      <c r="G526" s="42"/>
      <c r="H526" s="42"/>
      <c r="I526" s="42"/>
      <c r="J526" s="42"/>
      <c r="K526" s="42"/>
      <c r="L526" s="42"/>
      <c r="M526" s="42"/>
      <c r="N526" s="42"/>
      <c r="O526" s="42"/>
    </row>
    <row r="527" spans="1:15" customFormat="1" ht="15" x14ac:dyDescent="0.25">
      <c r="A527" s="55"/>
      <c r="B527" s="274"/>
      <c r="C527" s="167" t="s">
        <v>447</v>
      </c>
      <c r="D527" s="167"/>
      <c r="E527" s="275"/>
      <c r="F527" s="275"/>
      <c r="G527" s="275"/>
      <c r="H527" s="275"/>
      <c r="I527" s="275"/>
      <c r="J527" s="275"/>
      <c r="K527" s="275"/>
      <c r="L527" s="276"/>
      <c r="M527" s="167"/>
      <c r="N527" s="167"/>
      <c r="O527" s="167"/>
    </row>
    <row r="528" spans="1:15" customFormat="1" ht="15" x14ac:dyDescent="0.25">
      <c r="A528" s="42"/>
      <c r="B528" s="42"/>
      <c r="C528" s="42"/>
      <c r="D528" s="42"/>
      <c r="E528" s="42"/>
      <c r="F528" s="42"/>
      <c r="G528" s="42"/>
      <c r="H528" s="42"/>
      <c r="I528" s="42"/>
      <c r="J528" s="42"/>
      <c r="K528" s="42"/>
      <c r="L528" s="42"/>
      <c r="M528" s="42"/>
      <c r="N528" s="42"/>
      <c r="O528" s="42"/>
    </row>
    <row r="529" spans="1:15" customFormat="1" ht="36" x14ac:dyDescent="0.25">
      <c r="A529" s="42"/>
      <c r="B529" s="42"/>
      <c r="C529" s="448" t="s">
        <v>432</v>
      </c>
      <c r="D529" s="448"/>
      <c r="E529" s="89" t="str">
        <f>'[1]Product Design'!E21</f>
        <v>Amount of the Loan</v>
      </c>
      <c r="F529" s="89" t="str">
        <f>'[1]Product Design'!F21</f>
        <v xml:space="preserve">Annual Interest Rate </v>
      </c>
      <c r="G529" s="89" t="str">
        <f>'[1]Product Design'!G21</f>
        <v>PMI if applicable (%)</v>
      </c>
      <c r="H529" s="89" t="str">
        <f>'[1]Product Design'!H21</f>
        <v>Term in Months</v>
      </c>
      <c r="I529" s="89" t="str">
        <f>'[1]Product Design'!I21</f>
        <v>Monthly Payment</v>
      </c>
      <c r="J529" s="89" t="str">
        <f>'[1]Product Design'!J21</f>
        <v>Borrower Credit Score</v>
      </c>
      <c r="K529" s="89" t="str">
        <f>'[1]Product Design'!K21</f>
        <v>Maximum Borrower LTV</v>
      </c>
      <c r="L529" s="89" t="str">
        <f>'[1]Product Design'!L21</f>
        <v>Debt Service to Income</v>
      </c>
      <c r="M529" s="89" t="str">
        <f>'[1]Product Design'!M21</f>
        <v>Borrower Annual Income $</v>
      </c>
      <c r="N529" s="89" t="str">
        <f>'[1]Product Design'!N21</f>
        <v>Borrower Equity Required %</v>
      </c>
      <c r="O529" s="89" t="str">
        <f>'[1]Product Design'!O21</f>
        <v>Borrower Equity Required $</v>
      </c>
    </row>
    <row r="530" spans="1:15" customFormat="1" ht="15" x14ac:dyDescent="0.25">
      <c r="A530" s="42"/>
      <c r="B530" s="42"/>
      <c r="C530" s="42"/>
      <c r="D530" s="42"/>
      <c r="E530" s="89"/>
      <c r="F530" s="89"/>
      <c r="G530" s="89"/>
      <c r="H530" s="89"/>
      <c r="I530" s="89"/>
      <c r="J530" s="89"/>
      <c r="K530" s="89"/>
      <c r="L530" s="89"/>
      <c r="M530" s="89"/>
      <c r="N530" s="42"/>
      <c r="O530" s="42"/>
    </row>
    <row r="531" spans="1:15" customFormat="1" ht="15" x14ac:dyDescent="0.25">
      <c r="A531" s="42"/>
      <c r="B531" s="42"/>
      <c r="C531" s="80" t="s">
        <v>434</v>
      </c>
      <c r="D531" s="42"/>
      <c r="E531" s="277">
        <f>'[1]Product Design'!E$13</f>
        <v>250000</v>
      </c>
      <c r="F531" s="278">
        <f>'[1]Product Design'!F23</f>
        <v>0.04</v>
      </c>
      <c r="G531" s="278">
        <f>'[1]Product Design'!G23</f>
        <v>6.0000000000000001E-3</v>
      </c>
      <c r="H531" s="182">
        <f>'[1]Product Design'!H23</f>
        <v>360</v>
      </c>
      <c r="I531" s="279">
        <f>'[1]Product Design'!I23</f>
        <v>1281.6109205244741</v>
      </c>
      <c r="J531" s="280">
        <f>'[1]Product Design'!J23</f>
        <v>600</v>
      </c>
      <c r="K531" s="281">
        <f>'[1]Product Design'!K23</f>
        <v>0.99502487562189057</v>
      </c>
      <c r="L531" s="281">
        <f>'[1]Product Design'!L23</f>
        <v>0.45233326606746144</v>
      </c>
      <c r="M531" s="282">
        <f>'[1]Product Design'!M23</f>
        <v>34000</v>
      </c>
      <c r="N531" s="281">
        <f>'[1]Product Design'!N23</f>
        <v>4.9751243781094526E-3</v>
      </c>
      <c r="O531" s="283">
        <f>'[1]Product Design'!O23</f>
        <v>1250</v>
      </c>
    </row>
    <row r="532" spans="1:15" customFormat="1" ht="15" x14ac:dyDescent="0.25">
      <c r="A532" s="42"/>
      <c r="B532" s="42"/>
      <c r="C532" s="42"/>
      <c r="D532" s="42"/>
      <c r="E532" s="42"/>
      <c r="F532" s="42"/>
      <c r="G532" s="42"/>
      <c r="H532" s="42"/>
      <c r="I532" s="42"/>
      <c r="J532" s="42"/>
      <c r="K532" s="42"/>
      <c r="L532" s="42"/>
      <c r="M532" s="42"/>
      <c r="N532" s="42"/>
      <c r="O532" s="42"/>
    </row>
    <row r="533" spans="1:15" customFormat="1" ht="15" x14ac:dyDescent="0.25">
      <c r="A533" s="42"/>
      <c r="B533" s="42"/>
      <c r="C533" s="42"/>
      <c r="D533" s="42"/>
      <c r="E533" s="423" t="s">
        <v>448</v>
      </c>
      <c r="F533" s="423"/>
      <c r="G533" s="423"/>
      <c r="H533" s="423"/>
      <c r="I533" s="423"/>
      <c r="J533" s="423"/>
      <c r="K533" s="423"/>
      <c r="L533" s="423"/>
      <c r="M533" s="423"/>
      <c r="N533" s="42"/>
      <c r="O533" s="42"/>
    </row>
    <row r="534" spans="1:15" customFormat="1" ht="15" x14ac:dyDescent="0.25">
      <c r="A534" s="42"/>
      <c r="B534" s="42"/>
      <c r="C534" s="42"/>
      <c r="D534" s="42"/>
      <c r="E534" s="423"/>
      <c r="F534" s="423"/>
      <c r="G534" s="423"/>
      <c r="H534" s="423"/>
      <c r="I534" s="423"/>
      <c r="J534" s="423"/>
      <c r="K534" s="423"/>
      <c r="L534" s="423"/>
      <c r="M534" s="423"/>
      <c r="N534" s="42"/>
      <c r="O534" s="42"/>
    </row>
    <row r="535" spans="1:15" customFormat="1" ht="15" x14ac:dyDescent="0.25">
      <c r="A535" s="42"/>
      <c r="B535" s="42"/>
      <c r="C535" s="42"/>
      <c r="D535" s="42"/>
      <c r="E535" s="263"/>
      <c r="F535" s="263"/>
      <c r="G535" s="263"/>
      <c r="H535" s="263"/>
      <c r="I535" s="263"/>
      <c r="J535" s="263"/>
      <c r="K535" s="263"/>
      <c r="L535" s="263"/>
      <c r="M535" s="263"/>
      <c r="N535" s="42"/>
      <c r="O535" s="42"/>
    </row>
    <row r="536" spans="1:15" customFormat="1" ht="15" x14ac:dyDescent="0.25">
      <c r="A536" s="42"/>
      <c r="B536" s="42"/>
      <c r="C536" s="284" t="s">
        <v>449</v>
      </c>
      <c r="D536" s="285"/>
      <c r="E536" s="286"/>
      <c r="F536" s="286"/>
      <c r="G536" s="286"/>
      <c r="H536" s="286"/>
      <c r="I536" s="286"/>
      <c r="J536" s="286"/>
      <c r="K536" s="286"/>
      <c r="L536" s="286"/>
      <c r="M536" s="286"/>
      <c r="N536" s="285"/>
      <c r="O536" s="285"/>
    </row>
    <row r="537" spans="1:15" customFormat="1" ht="15" x14ac:dyDescent="0.25">
      <c r="A537" s="42"/>
      <c r="B537" s="42"/>
      <c r="C537" s="42"/>
      <c r="D537" s="42"/>
      <c r="E537" s="263"/>
      <c r="F537" s="263"/>
      <c r="G537" s="263"/>
      <c r="H537" s="263"/>
      <c r="I537" s="263"/>
      <c r="J537" s="263"/>
      <c r="K537" s="263"/>
      <c r="L537" s="263"/>
      <c r="M537" s="263"/>
      <c r="N537" s="42"/>
      <c r="O537" s="42"/>
    </row>
    <row r="538" spans="1:15" customFormat="1" ht="15" x14ac:dyDescent="0.25"/>
    <row r="539" spans="1:15" ht="15" x14ac:dyDescent="0.2">
      <c r="C539" s="446" t="s">
        <v>450</v>
      </c>
      <c r="D539" s="447"/>
      <c r="E539" s="287">
        <v>250000</v>
      </c>
      <c r="F539" s="42"/>
      <c r="G539" s="42"/>
      <c r="H539" s="42"/>
      <c r="I539" s="42"/>
      <c r="J539" s="42"/>
      <c r="K539" s="42"/>
      <c r="L539" s="42"/>
      <c r="M539" s="42"/>
      <c r="N539" s="42"/>
    </row>
    <row r="540" spans="1:15" ht="15" x14ac:dyDescent="0.2">
      <c r="C540" s="224"/>
      <c r="D540" s="224"/>
      <c r="E540" s="325"/>
      <c r="F540" s="325"/>
      <c r="G540" s="325"/>
      <c r="H540" s="325"/>
      <c r="I540" s="325"/>
      <c r="J540" s="325"/>
      <c r="K540" s="325"/>
      <c r="L540" s="325"/>
      <c r="M540" s="325"/>
      <c r="N540" s="42"/>
    </row>
    <row r="541" spans="1:15" ht="15" x14ac:dyDescent="0.2">
      <c r="C541" s="224"/>
      <c r="D541" s="329" t="s">
        <v>451</v>
      </c>
      <c r="E541" s="288">
        <v>2016</v>
      </c>
      <c r="F541" s="289">
        <f t="shared" ref="F541:N541" si="3">E541+1</f>
        <v>2017</v>
      </c>
      <c r="G541" s="289">
        <f t="shared" si="3"/>
        <v>2018</v>
      </c>
      <c r="H541" s="289">
        <f t="shared" si="3"/>
        <v>2019</v>
      </c>
      <c r="I541" s="289">
        <f t="shared" si="3"/>
        <v>2020</v>
      </c>
      <c r="J541" s="289">
        <f t="shared" si="3"/>
        <v>2021</v>
      </c>
      <c r="K541" s="289">
        <f t="shared" si="3"/>
        <v>2022</v>
      </c>
      <c r="L541" s="289">
        <f t="shared" si="3"/>
        <v>2023</v>
      </c>
      <c r="M541" s="289">
        <f t="shared" si="3"/>
        <v>2024</v>
      </c>
      <c r="N541" s="289">
        <f t="shared" si="3"/>
        <v>2025</v>
      </c>
    </row>
    <row r="542" spans="1:15" ht="15" x14ac:dyDescent="0.2">
      <c r="C542" s="224"/>
      <c r="D542" s="329" t="s">
        <v>452</v>
      </c>
      <c r="E542" s="290">
        <v>500</v>
      </c>
      <c r="F542" s="290">
        <v>1500</v>
      </c>
      <c r="G542" s="290">
        <v>5000</v>
      </c>
      <c r="H542" s="290">
        <v>7500</v>
      </c>
      <c r="I542" s="290">
        <v>10000</v>
      </c>
      <c r="J542" s="290">
        <v>10000</v>
      </c>
      <c r="K542" s="290">
        <v>10500</v>
      </c>
      <c r="L542" s="290">
        <v>8000</v>
      </c>
      <c r="M542" s="290">
        <v>7500</v>
      </c>
      <c r="N542" s="290">
        <v>9500</v>
      </c>
    </row>
    <row r="543" spans="1:15" ht="15" x14ac:dyDescent="0.2">
      <c r="C543" s="224"/>
      <c r="D543" s="329" t="s">
        <v>453</v>
      </c>
      <c r="E543" s="291">
        <f t="shared" ref="E543:N543" si="4">$E$539*E542</f>
        <v>125000000</v>
      </c>
      <c r="F543" s="291">
        <f t="shared" si="4"/>
        <v>375000000</v>
      </c>
      <c r="G543" s="291">
        <f t="shared" si="4"/>
        <v>1250000000</v>
      </c>
      <c r="H543" s="291">
        <f t="shared" si="4"/>
        <v>1875000000</v>
      </c>
      <c r="I543" s="291">
        <f t="shared" si="4"/>
        <v>2500000000</v>
      </c>
      <c r="J543" s="291">
        <f t="shared" si="4"/>
        <v>2500000000</v>
      </c>
      <c r="K543" s="291">
        <f t="shared" si="4"/>
        <v>2625000000</v>
      </c>
      <c r="L543" s="291">
        <f t="shared" si="4"/>
        <v>2000000000</v>
      </c>
      <c r="M543" s="291">
        <f t="shared" si="4"/>
        <v>1875000000</v>
      </c>
      <c r="N543" s="291">
        <f t="shared" si="4"/>
        <v>2375000000</v>
      </c>
    </row>
    <row r="548" spans="1:15" x14ac:dyDescent="0.2">
      <c r="A548" s="42"/>
      <c r="B548" s="42"/>
      <c r="C548" s="284" t="s">
        <v>455</v>
      </c>
      <c r="D548" s="285"/>
      <c r="E548" s="286"/>
      <c r="F548" s="286"/>
      <c r="G548" s="286"/>
      <c r="H548" s="286"/>
      <c r="I548" s="286"/>
      <c r="J548" s="286"/>
      <c r="K548" s="286"/>
      <c r="L548" s="286"/>
      <c r="M548" s="286"/>
      <c r="N548" s="285"/>
      <c r="O548" s="285"/>
    </row>
    <row r="549" spans="1:15" x14ac:dyDescent="0.2">
      <c r="A549" s="42"/>
      <c r="B549" s="42"/>
      <c r="C549" s="80"/>
      <c r="D549" s="42"/>
      <c r="E549" s="261"/>
      <c r="F549" s="261"/>
      <c r="G549" s="261"/>
      <c r="H549" s="261"/>
      <c r="I549" s="261"/>
      <c r="J549" s="261"/>
      <c r="K549" s="261"/>
      <c r="L549" s="261"/>
      <c r="M549" s="261"/>
      <c r="N549" s="42"/>
      <c r="O549" s="42"/>
    </row>
    <row r="550" spans="1:15" customFormat="1" ht="15" x14ac:dyDescent="0.25">
      <c r="C550" s="445" t="s">
        <v>456</v>
      </c>
      <c r="D550" s="445"/>
      <c r="E550" s="223" t="s">
        <v>457</v>
      </c>
      <c r="F550" s="223" t="s">
        <v>458</v>
      </c>
      <c r="G550" s="223" t="s">
        <v>459</v>
      </c>
      <c r="H550" s="223" t="s">
        <v>460</v>
      </c>
      <c r="I550" s="223" t="s">
        <v>461</v>
      </c>
      <c r="J550" s="223" t="s">
        <v>462</v>
      </c>
      <c r="K550" s="223" t="s">
        <v>463</v>
      </c>
      <c r="L550" s="223" t="s">
        <v>464</v>
      </c>
      <c r="M550" s="358"/>
      <c r="N550" s="224"/>
      <c r="O550" s="224"/>
    </row>
    <row r="551" spans="1:15" customFormat="1" ht="15" x14ac:dyDescent="0.25">
      <c r="C551" s="224" t="s">
        <v>465</v>
      </c>
      <c r="D551" s="224"/>
      <c r="E551" s="333"/>
      <c r="F551" s="333"/>
      <c r="G551" s="333"/>
      <c r="H551" s="333"/>
      <c r="I551" s="333"/>
      <c r="J551" s="333"/>
      <c r="K551" s="395">
        <v>1.7500000000000002E-2</v>
      </c>
      <c r="L551" s="333"/>
      <c r="M551" s="358"/>
      <c r="N551" s="224"/>
      <c r="O551" s="224"/>
    </row>
    <row r="552" spans="1:15" customFormat="1" ht="15" x14ac:dyDescent="0.25">
      <c r="C552" s="224"/>
      <c r="D552" s="224"/>
      <c r="E552" s="358"/>
      <c r="F552" s="358"/>
      <c r="G552" s="358"/>
      <c r="H552" s="358"/>
      <c r="I552" s="358"/>
      <c r="J552" s="358"/>
      <c r="K552" s="358"/>
      <c r="L552" s="358"/>
      <c r="M552" s="358"/>
      <c r="N552" s="224"/>
      <c r="O552" s="224"/>
    </row>
    <row r="553" spans="1:15" customFormat="1" ht="15" x14ac:dyDescent="0.25">
      <c r="C553" s="224"/>
      <c r="D553" s="224"/>
      <c r="E553" s="358"/>
      <c r="F553" s="358"/>
      <c r="G553" s="358"/>
      <c r="H553" s="358"/>
      <c r="I553" s="358"/>
      <c r="J553" s="358"/>
      <c r="K553" s="358"/>
      <c r="L553" s="358"/>
      <c r="M553" s="358"/>
      <c r="N553" s="224"/>
      <c r="O553" s="224"/>
    </row>
    <row r="554" spans="1:15" customFormat="1" ht="15" x14ac:dyDescent="0.25">
      <c r="C554" s="446" t="s">
        <v>466</v>
      </c>
      <c r="D554" s="447"/>
      <c r="E554" s="333" t="s">
        <v>463</v>
      </c>
      <c r="F554" s="358"/>
      <c r="G554" s="358"/>
      <c r="H554" s="358"/>
      <c r="I554" s="358"/>
      <c r="J554" s="358"/>
      <c r="K554" s="358"/>
      <c r="L554" s="358"/>
      <c r="M554" s="358"/>
      <c r="N554" s="224"/>
      <c r="O554" s="224"/>
    </row>
    <row r="555" spans="1:15" customFormat="1" ht="15" x14ac:dyDescent="0.25">
      <c r="C555" s="446" t="s">
        <v>467</v>
      </c>
      <c r="D555" s="447"/>
      <c r="E555" s="332">
        <v>2.2499999999999999E-2</v>
      </c>
      <c r="F555" s="358"/>
      <c r="G555" s="358"/>
      <c r="H555" s="358"/>
      <c r="I555" s="358"/>
      <c r="J555" s="358"/>
      <c r="K555" s="358"/>
      <c r="L555" s="358"/>
      <c r="M555" s="358"/>
      <c r="N555" s="224"/>
      <c r="O555" s="224"/>
    </row>
    <row r="556" spans="1:15" customFormat="1" ht="60" x14ac:dyDescent="0.25">
      <c r="C556" s="446" t="s">
        <v>468</v>
      </c>
      <c r="D556" s="447"/>
      <c r="E556" s="396" t="s">
        <v>469</v>
      </c>
      <c r="F556" s="358" t="s">
        <v>470</v>
      </c>
      <c r="G556" s="358"/>
      <c r="H556" s="358"/>
      <c r="I556" s="358"/>
      <c r="J556" s="358"/>
      <c r="K556" s="358"/>
      <c r="L556" s="358"/>
      <c r="M556" s="358"/>
      <c r="N556" s="224"/>
      <c r="O556" s="224"/>
    </row>
    <row r="557" spans="1:15" customFormat="1" ht="15" x14ac:dyDescent="0.25">
      <c r="C557" s="224"/>
      <c r="D557" s="224"/>
      <c r="E557" s="358"/>
      <c r="F557" s="358"/>
      <c r="G557" s="358"/>
      <c r="H557" s="358"/>
      <c r="I557" s="358"/>
      <c r="J557" s="358"/>
      <c r="K557" s="358"/>
      <c r="L557" s="358"/>
      <c r="M557" s="358"/>
      <c r="N557" s="224"/>
      <c r="O557" s="224"/>
    </row>
    <row r="558" spans="1:15" customFormat="1" ht="15" x14ac:dyDescent="0.25">
      <c r="C558" s="349" t="s">
        <v>471</v>
      </c>
      <c r="D558" s="223" t="s">
        <v>472</v>
      </c>
      <c r="E558" s="397">
        <f>E544</f>
        <v>0</v>
      </c>
      <c r="F558" s="397">
        <f t="shared" ref="F558:N558" si="5">E558+1</f>
        <v>1</v>
      </c>
      <c r="G558" s="397">
        <f t="shared" si="5"/>
        <v>2</v>
      </c>
      <c r="H558" s="397">
        <f t="shared" si="5"/>
        <v>3</v>
      </c>
      <c r="I558" s="397">
        <f t="shared" si="5"/>
        <v>4</v>
      </c>
      <c r="J558" s="397">
        <f t="shared" si="5"/>
        <v>5</v>
      </c>
      <c r="K558" s="397">
        <f t="shared" si="5"/>
        <v>6</v>
      </c>
      <c r="L558" s="397">
        <f t="shared" si="5"/>
        <v>7</v>
      </c>
      <c r="M558" s="397">
        <f t="shared" si="5"/>
        <v>8</v>
      </c>
      <c r="N558" s="397">
        <f t="shared" si="5"/>
        <v>9</v>
      </c>
      <c r="O558" s="224"/>
    </row>
    <row r="559" spans="1:15" customFormat="1" ht="15" x14ac:dyDescent="0.25">
      <c r="C559" s="224"/>
      <c r="D559" s="223" t="s">
        <v>473</v>
      </c>
      <c r="E559" s="395">
        <v>1.7500000000000002E-2</v>
      </c>
      <c r="F559" s="395">
        <v>0.02</v>
      </c>
      <c r="G559" s="395">
        <v>2.2499999999999999E-2</v>
      </c>
      <c r="H559" s="395">
        <v>0.04</v>
      </c>
      <c r="I559" s="395">
        <v>3.7499999999999999E-2</v>
      </c>
      <c r="J559" s="395">
        <v>0.02</v>
      </c>
      <c r="K559" s="395">
        <v>2.5000000000000001E-2</v>
      </c>
      <c r="L559" s="395">
        <v>2.5000000000000001E-2</v>
      </c>
      <c r="M559" s="395">
        <v>4.2500000000000003E-2</v>
      </c>
      <c r="N559" s="395">
        <v>4.2500000000000003E-2</v>
      </c>
      <c r="O559" s="224"/>
    </row>
    <row r="560" spans="1:15" customFormat="1" ht="15" x14ac:dyDescent="0.25">
      <c r="C560" s="224"/>
      <c r="D560" s="224"/>
      <c r="E560" s="358"/>
      <c r="F560" s="358"/>
      <c r="G560" s="358"/>
      <c r="H560" s="358"/>
      <c r="I560" s="358"/>
      <c r="J560" s="358"/>
      <c r="K560" s="358"/>
      <c r="L560" s="358"/>
      <c r="M560" s="358"/>
      <c r="N560" s="224"/>
      <c r="O560" s="224"/>
    </row>
    <row r="561" spans="1:15" customFormat="1" ht="15" x14ac:dyDescent="0.25">
      <c r="C561" s="224"/>
      <c r="D561" s="224"/>
      <c r="E561" s="358"/>
      <c r="F561" s="358"/>
      <c r="G561" s="358"/>
      <c r="H561" s="358"/>
      <c r="I561" s="358"/>
      <c r="J561" s="358"/>
      <c r="K561" s="358"/>
      <c r="L561" s="358"/>
      <c r="M561" s="358"/>
      <c r="N561" s="224"/>
      <c r="O561" s="224"/>
    </row>
    <row r="562" spans="1:15" customFormat="1" ht="15" x14ac:dyDescent="0.25">
      <c r="C562" s="224"/>
      <c r="D562" s="224"/>
      <c r="E562" s="456" t="s">
        <v>474</v>
      </c>
      <c r="F562" s="456"/>
      <c r="G562" s="456"/>
      <c r="H562" s="457"/>
      <c r="I562" s="358"/>
      <c r="J562" s="458" t="s">
        <v>475</v>
      </c>
      <c r="K562" s="458"/>
      <c r="L562" s="458"/>
      <c r="M562" s="459"/>
      <c r="N562" s="224"/>
      <c r="O562" s="224"/>
    </row>
    <row r="563" spans="1:15" customFormat="1" ht="30" x14ac:dyDescent="0.25">
      <c r="C563" s="349" t="s">
        <v>126</v>
      </c>
      <c r="D563" s="224"/>
      <c r="E563" s="335" t="s">
        <v>1</v>
      </c>
      <c r="F563" s="335" t="s">
        <v>476</v>
      </c>
      <c r="G563" s="335" t="s">
        <v>477</v>
      </c>
      <c r="H563" s="335" t="s">
        <v>478</v>
      </c>
      <c r="I563" s="358"/>
      <c r="J563" s="335" t="s">
        <v>1</v>
      </c>
      <c r="K563" s="335" t="s">
        <v>476</v>
      </c>
      <c r="L563" s="335" t="s">
        <v>479</v>
      </c>
      <c r="M563" s="335" t="s">
        <v>480</v>
      </c>
      <c r="N563" s="224"/>
      <c r="O563" s="224"/>
    </row>
    <row r="564" spans="1:15" ht="15" x14ac:dyDescent="0.2">
      <c r="A564" s="42"/>
      <c r="B564" s="42"/>
      <c r="C564" s="349"/>
      <c r="D564" s="224"/>
      <c r="E564" s="389">
        <v>0</v>
      </c>
      <c r="F564" s="389">
        <v>0</v>
      </c>
      <c r="G564" s="389">
        <v>0.02</v>
      </c>
      <c r="H564" s="389">
        <v>0</v>
      </c>
      <c r="I564" s="398"/>
      <c r="J564" s="389">
        <v>2.5000000000000001E-2</v>
      </c>
      <c r="K564" s="389"/>
      <c r="L564" s="389">
        <v>0</v>
      </c>
      <c r="M564" s="389">
        <v>0</v>
      </c>
      <c r="N564" s="224"/>
      <c r="O564" s="224"/>
    </row>
    <row r="565" spans="1:15" ht="15" x14ac:dyDescent="0.2">
      <c r="A565" s="42"/>
      <c r="B565" s="42"/>
      <c r="C565" s="224"/>
      <c r="D565" s="224"/>
      <c r="E565" s="358"/>
      <c r="F565" s="358"/>
      <c r="G565" s="358"/>
      <c r="H565" s="358"/>
      <c r="I565" s="358"/>
      <c r="J565" s="358"/>
      <c r="K565" s="358"/>
      <c r="L565" s="358"/>
      <c r="M565" s="358"/>
      <c r="N565" s="224"/>
      <c r="O565" s="224"/>
    </row>
    <row r="566" spans="1:15" ht="48" x14ac:dyDescent="0.2">
      <c r="A566" s="42"/>
      <c r="B566" s="42"/>
      <c r="C566" s="423" t="s">
        <v>481</v>
      </c>
      <c r="D566" s="463"/>
      <c r="E566" s="292" t="s">
        <v>482</v>
      </c>
      <c r="F566" s="261" t="s">
        <v>470</v>
      </c>
      <c r="G566" s="42"/>
      <c r="H566" s="261"/>
      <c r="I566" s="42"/>
      <c r="J566" s="42"/>
      <c r="K566" s="42"/>
      <c r="L566" s="42"/>
      <c r="M566" s="42"/>
      <c r="N566" s="42"/>
      <c r="O566" s="42"/>
    </row>
    <row r="567" spans="1:15" ht="36" x14ac:dyDescent="0.2">
      <c r="A567" s="42"/>
      <c r="B567" s="42"/>
      <c r="C567" s="423" t="s">
        <v>483</v>
      </c>
      <c r="D567" s="463"/>
      <c r="E567" s="296">
        <v>90</v>
      </c>
      <c r="F567" s="261" t="s">
        <v>484</v>
      </c>
      <c r="G567" s="261"/>
      <c r="H567" s="261"/>
      <c r="I567" s="42"/>
      <c r="J567" s="42"/>
      <c r="K567" s="42"/>
      <c r="L567" s="42"/>
      <c r="M567" s="42"/>
      <c r="N567" s="42"/>
      <c r="O567" s="42"/>
    </row>
    <row r="568" spans="1:15" ht="24" x14ac:dyDescent="0.2">
      <c r="A568" s="42"/>
      <c r="B568" s="42"/>
      <c r="C568" s="423" t="s">
        <v>485</v>
      </c>
      <c r="D568" s="463"/>
      <c r="E568" s="296">
        <v>20</v>
      </c>
      <c r="F568" s="261" t="s">
        <v>486</v>
      </c>
      <c r="G568" s="423" t="s">
        <v>487</v>
      </c>
      <c r="H568" s="463"/>
      <c r="I568" s="423"/>
      <c r="J568" s="42"/>
      <c r="K568" s="42"/>
      <c r="L568" s="42"/>
      <c r="M568" s="42"/>
      <c r="N568" s="42"/>
      <c r="O568" s="42"/>
    </row>
    <row r="569" spans="1:15" ht="24" x14ac:dyDescent="0.2">
      <c r="A569" s="42"/>
      <c r="B569" s="42"/>
      <c r="C569" s="423" t="s">
        <v>488</v>
      </c>
      <c r="D569" s="463"/>
      <c r="E569" s="296">
        <v>12</v>
      </c>
      <c r="F569" s="261" t="s">
        <v>489</v>
      </c>
      <c r="G569" s="261"/>
      <c r="H569" s="261"/>
      <c r="I569" s="42"/>
      <c r="J569" s="42"/>
      <c r="K569" s="42"/>
      <c r="L569" s="42"/>
      <c r="M569" s="42"/>
      <c r="N569" s="42"/>
      <c r="O569" s="42"/>
    </row>
    <row r="570" spans="1:15" ht="24" x14ac:dyDescent="0.2">
      <c r="A570" s="42"/>
      <c r="B570" s="42"/>
      <c r="C570" s="423" t="s">
        <v>490</v>
      </c>
      <c r="D570" s="463"/>
      <c r="E570" s="296">
        <v>4</v>
      </c>
      <c r="F570" s="261" t="s">
        <v>489</v>
      </c>
      <c r="G570" s="261"/>
      <c r="H570" s="261"/>
      <c r="I570" s="42"/>
      <c r="J570" s="42"/>
      <c r="K570" s="42"/>
      <c r="L570" s="42"/>
      <c r="M570" s="42"/>
      <c r="N570" s="42"/>
      <c r="O570" s="42"/>
    </row>
    <row r="571" spans="1:15" ht="24" x14ac:dyDescent="0.2">
      <c r="A571" s="42"/>
      <c r="B571" s="42"/>
      <c r="C571" s="423" t="s">
        <v>491</v>
      </c>
      <c r="D571" s="463"/>
      <c r="E571" s="296">
        <v>20</v>
      </c>
      <c r="F571" s="261" t="s">
        <v>492</v>
      </c>
      <c r="G571" s="261"/>
      <c r="H571" s="261"/>
      <c r="I571" s="42"/>
      <c r="J571" s="42"/>
      <c r="K571" s="42"/>
      <c r="L571" s="42"/>
      <c r="M571" s="42"/>
      <c r="N571" s="42"/>
      <c r="O571" s="42"/>
    </row>
    <row r="575" spans="1:15" x14ac:dyDescent="0.2">
      <c r="A575" s="42"/>
      <c r="B575" s="42"/>
      <c r="C575" s="284" t="s">
        <v>493</v>
      </c>
      <c r="D575" s="294"/>
      <c r="E575" s="295"/>
      <c r="F575" s="295"/>
      <c r="G575" s="295"/>
      <c r="H575" s="295"/>
      <c r="I575" s="295"/>
      <c r="J575" s="295"/>
      <c r="K575" s="295"/>
      <c r="L575" s="295"/>
      <c r="M575" s="295"/>
      <c r="N575" s="294"/>
      <c r="O575" s="294"/>
    </row>
    <row r="576" spans="1:15" x14ac:dyDescent="0.2">
      <c r="A576" s="42"/>
      <c r="B576" s="42"/>
      <c r="C576" s="42"/>
      <c r="D576" s="42"/>
      <c r="E576" s="42"/>
      <c r="F576" s="42"/>
      <c r="G576" s="42"/>
      <c r="H576" s="42"/>
      <c r="I576" s="42"/>
      <c r="J576" s="42"/>
      <c r="K576" s="42"/>
      <c r="L576" s="42"/>
      <c r="M576" s="42"/>
      <c r="N576" s="42"/>
      <c r="O576" s="42"/>
    </row>
    <row r="577" spans="1:15" x14ac:dyDescent="0.2">
      <c r="A577" s="42"/>
      <c r="B577" s="42"/>
      <c r="C577" s="42"/>
      <c r="D577" s="42"/>
      <c r="E577" s="289">
        <v>2016</v>
      </c>
      <c r="F577" s="289">
        <f>E577+1</f>
        <v>2017</v>
      </c>
      <c r="G577" s="289">
        <f t="shared" ref="G577:N577" si="6">F577+1</f>
        <v>2018</v>
      </c>
      <c r="H577" s="289">
        <f t="shared" si="6"/>
        <v>2019</v>
      </c>
      <c r="I577" s="289">
        <f t="shared" si="6"/>
        <v>2020</v>
      </c>
      <c r="J577" s="289">
        <f t="shared" si="6"/>
        <v>2021</v>
      </c>
      <c r="K577" s="289">
        <f t="shared" si="6"/>
        <v>2022</v>
      </c>
      <c r="L577" s="289">
        <f t="shared" si="6"/>
        <v>2023</v>
      </c>
      <c r="M577" s="289">
        <f t="shared" si="6"/>
        <v>2024</v>
      </c>
      <c r="N577" s="289">
        <f t="shared" si="6"/>
        <v>2025</v>
      </c>
      <c r="O577" s="42"/>
    </row>
    <row r="578" spans="1:15" ht="12" customHeight="1" x14ac:dyDescent="0.2">
      <c r="A578" s="42"/>
      <c r="B578" s="42"/>
      <c r="C578" s="423" t="s">
        <v>494</v>
      </c>
      <c r="D578" s="463"/>
      <c r="E578" s="293">
        <v>0</v>
      </c>
      <c r="F578" s="293">
        <f>E578</f>
        <v>0</v>
      </c>
      <c r="G578" s="293">
        <f t="shared" ref="G578:N578" si="7">F578</f>
        <v>0</v>
      </c>
      <c r="H578" s="293">
        <f t="shared" si="7"/>
        <v>0</v>
      </c>
      <c r="I578" s="293">
        <f t="shared" si="7"/>
        <v>0</v>
      </c>
      <c r="J578" s="293">
        <f t="shared" si="7"/>
        <v>0</v>
      </c>
      <c r="K578" s="293">
        <f t="shared" si="7"/>
        <v>0</v>
      </c>
      <c r="L578" s="293">
        <f t="shared" si="7"/>
        <v>0</v>
      </c>
      <c r="M578" s="293">
        <f t="shared" si="7"/>
        <v>0</v>
      </c>
      <c r="N578" s="293">
        <f t="shared" si="7"/>
        <v>0</v>
      </c>
      <c r="O578" s="42"/>
    </row>
    <row r="579" spans="1:15" ht="12" customHeight="1" x14ac:dyDescent="0.2">
      <c r="A579" s="42"/>
      <c r="B579" s="42"/>
      <c r="C579" s="423" t="s">
        <v>495</v>
      </c>
      <c r="D579" s="463"/>
      <c r="E579" s="293">
        <v>0.08</v>
      </c>
      <c r="F579" s="293">
        <f t="shared" ref="F579:N579" si="8">E579</f>
        <v>0.08</v>
      </c>
      <c r="G579" s="293">
        <f t="shared" si="8"/>
        <v>0.08</v>
      </c>
      <c r="H579" s="293">
        <f t="shared" si="8"/>
        <v>0.08</v>
      </c>
      <c r="I579" s="293">
        <f t="shared" si="8"/>
        <v>0.08</v>
      </c>
      <c r="J579" s="293">
        <f t="shared" si="8"/>
        <v>0.08</v>
      </c>
      <c r="K579" s="293">
        <f t="shared" si="8"/>
        <v>0.08</v>
      </c>
      <c r="L579" s="293">
        <f t="shared" si="8"/>
        <v>0.08</v>
      </c>
      <c r="M579" s="293">
        <f t="shared" si="8"/>
        <v>0.08</v>
      </c>
      <c r="N579" s="293">
        <f t="shared" si="8"/>
        <v>0.08</v>
      </c>
      <c r="O579" s="42"/>
    </row>
    <row r="580" spans="1:15" ht="15" customHeight="1" x14ac:dyDescent="0.2">
      <c r="A580" s="42"/>
      <c r="B580" s="42"/>
      <c r="C580" s="42"/>
      <c r="D580" s="42"/>
      <c r="E580" s="42"/>
      <c r="F580" s="42"/>
      <c r="G580" s="42"/>
      <c r="H580" s="42"/>
      <c r="I580" s="42"/>
      <c r="J580" s="42"/>
      <c r="K580" s="42"/>
      <c r="L580" s="42"/>
      <c r="M580" s="42"/>
      <c r="N580" s="42"/>
      <c r="O580" s="42"/>
    </row>
    <row r="581" spans="1:15" x14ac:dyDescent="0.2">
      <c r="A581" s="42"/>
      <c r="B581" s="42"/>
      <c r="C581" s="42"/>
      <c r="D581" s="42"/>
      <c r="E581" s="42"/>
      <c r="F581" s="42"/>
      <c r="G581" s="42"/>
      <c r="H581" s="42"/>
      <c r="I581" s="42"/>
      <c r="J581" s="42"/>
      <c r="K581" s="42"/>
      <c r="L581" s="42"/>
      <c r="M581" s="42"/>
      <c r="N581" s="42"/>
      <c r="O581" s="42"/>
    </row>
    <row r="582" spans="1:15" x14ac:dyDescent="0.2">
      <c r="A582" s="42"/>
      <c r="B582" s="42"/>
      <c r="C582" s="284" t="s">
        <v>496</v>
      </c>
      <c r="D582" s="294"/>
      <c r="E582" s="295"/>
      <c r="F582" s="295"/>
      <c r="G582" s="295"/>
      <c r="H582" s="295"/>
      <c r="I582" s="295"/>
      <c r="J582" s="295"/>
      <c r="K582" s="295"/>
      <c r="L582" s="295"/>
      <c r="M582" s="295"/>
      <c r="N582" s="294"/>
      <c r="O582" s="294"/>
    </row>
    <row r="583" spans="1:15" x14ac:dyDescent="0.2">
      <c r="A583" s="74"/>
      <c r="B583" s="74"/>
      <c r="C583" s="76"/>
      <c r="D583" s="261"/>
      <c r="E583" s="74"/>
      <c r="F583" s="75"/>
      <c r="G583" s="75"/>
      <c r="H583" s="75"/>
      <c r="I583" s="75"/>
      <c r="J583" s="75"/>
      <c r="K583" s="75"/>
      <c r="L583" s="75"/>
      <c r="M583" s="297"/>
      <c r="N583" s="75"/>
      <c r="O583" s="74"/>
    </row>
    <row r="584" spans="1:15" x14ac:dyDescent="0.2">
      <c r="A584" s="74"/>
      <c r="B584" s="74"/>
      <c r="C584" s="262"/>
      <c r="D584" s="261"/>
      <c r="E584" s="75" t="s">
        <v>497</v>
      </c>
      <c r="F584" s="75"/>
      <c r="G584" s="75"/>
      <c r="H584" s="75"/>
      <c r="I584" s="75"/>
      <c r="J584" s="75"/>
      <c r="K584" s="75"/>
      <c r="L584" s="75"/>
      <c r="M584" s="297"/>
      <c r="N584" s="75"/>
      <c r="O584" s="74"/>
    </row>
    <row r="585" spans="1:15" x14ac:dyDescent="0.2">
      <c r="A585" s="74"/>
      <c r="B585" s="74"/>
      <c r="C585" s="262"/>
      <c r="D585" s="261"/>
      <c r="E585" s="75">
        <v>1</v>
      </c>
      <c r="F585" s="75">
        <v>2</v>
      </c>
      <c r="G585" s="75">
        <v>3</v>
      </c>
      <c r="H585" s="75">
        <v>4</v>
      </c>
      <c r="I585" s="75">
        <v>5</v>
      </c>
      <c r="J585" s="75">
        <v>6</v>
      </c>
      <c r="K585" s="75">
        <v>7</v>
      </c>
      <c r="L585" s="75">
        <v>8</v>
      </c>
      <c r="M585" s="75">
        <v>9</v>
      </c>
      <c r="N585" s="75">
        <v>10</v>
      </c>
      <c r="O585" s="74"/>
    </row>
    <row r="586" spans="1:15" x14ac:dyDescent="0.2">
      <c r="A586" s="74"/>
      <c r="B586" s="74"/>
      <c r="C586" s="74" t="s">
        <v>498</v>
      </c>
      <c r="D586" s="261"/>
      <c r="E586" s="293">
        <v>2.5000000000000001E-3</v>
      </c>
      <c r="F586" s="293">
        <v>7.4999999999999997E-3</v>
      </c>
      <c r="G586" s="293">
        <v>2.5000000000000001E-2</v>
      </c>
      <c r="H586" s="293">
        <v>0.05</v>
      </c>
      <c r="I586" s="293">
        <v>0.02</v>
      </c>
      <c r="J586" s="293">
        <v>0.01</v>
      </c>
      <c r="K586" s="293">
        <v>5.0000000000000001E-3</v>
      </c>
      <c r="L586" s="293">
        <v>5.0000000000000001E-3</v>
      </c>
      <c r="M586" s="293">
        <v>5.0000000000000001E-3</v>
      </c>
      <c r="N586" s="293">
        <v>5.0000000000000001E-3</v>
      </c>
      <c r="O586" s="74"/>
    </row>
    <row r="587" spans="1:15" x14ac:dyDescent="0.2">
      <c r="A587" s="74"/>
      <c r="B587" s="74"/>
      <c r="C587" s="74" t="s">
        <v>499</v>
      </c>
      <c r="D587" s="261"/>
      <c r="E587" s="293">
        <v>5.0000000000000001E-3</v>
      </c>
      <c r="F587" s="293">
        <v>0.01</v>
      </c>
      <c r="G587" s="293">
        <v>0.02</v>
      </c>
      <c r="H587" s="293">
        <v>0.03</v>
      </c>
      <c r="I587" s="293">
        <v>0.03</v>
      </c>
      <c r="J587" s="293">
        <v>0.03</v>
      </c>
      <c r="K587" s="293">
        <v>0.03</v>
      </c>
      <c r="L587" s="293">
        <v>0.03</v>
      </c>
      <c r="M587" s="293">
        <v>0.02</v>
      </c>
      <c r="N587" s="293">
        <v>0.02</v>
      </c>
      <c r="O587" s="74"/>
    </row>
    <row r="588" spans="1:15" x14ac:dyDescent="0.2">
      <c r="A588" s="74"/>
      <c r="B588" s="74"/>
      <c r="C588" s="262"/>
      <c r="D588" s="261"/>
      <c r="E588" s="75"/>
      <c r="F588" s="75"/>
      <c r="G588" s="75"/>
      <c r="H588" s="75"/>
      <c r="I588" s="75"/>
      <c r="J588" s="75"/>
      <c r="K588" s="75"/>
      <c r="L588" s="75"/>
      <c r="M588" s="297"/>
      <c r="N588" s="75"/>
      <c r="O588" s="74"/>
    </row>
    <row r="589" spans="1:15" x14ac:dyDescent="0.2">
      <c r="A589" s="74"/>
      <c r="B589" s="74"/>
      <c r="C589" s="262"/>
      <c r="D589" s="261"/>
      <c r="E589" s="75" t="s">
        <v>500</v>
      </c>
      <c r="F589" s="75"/>
      <c r="G589" s="75"/>
      <c r="H589" s="75"/>
      <c r="I589" s="75"/>
      <c r="J589" s="75"/>
      <c r="K589" s="75"/>
      <c r="L589" s="75"/>
      <c r="M589" s="297"/>
      <c r="N589" s="75"/>
      <c r="O589" s="74"/>
    </row>
    <row r="590" spans="1:15" x14ac:dyDescent="0.2">
      <c r="A590" s="74"/>
      <c r="B590" s="74"/>
      <c r="C590" s="74" t="s">
        <v>501</v>
      </c>
      <c r="D590" s="261"/>
      <c r="E590" s="74">
        <f t="shared" ref="E590:N590" si="9">E561</f>
        <v>0</v>
      </c>
      <c r="F590" s="74">
        <f t="shared" si="9"/>
        <v>0</v>
      </c>
      <c r="G590" s="74">
        <f t="shared" si="9"/>
        <v>0</v>
      </c>
      <c r="H590" s="74">
        <f t="shared" si="9"/>
        <v>0</v>
      </c>
      <c r="I590" s="74">
        <f t="shared" si="9"/>
        <v>0</v>
      </c>
      <c r="J590" s="74">
        <f t="shared" si="9"/>
        <v>0</v>
      </c>
      <c r="K590" s="74">
        <f t="shared" si="9"/>
        <v>0</v>
      </c>
      <c r="L590" s="74">
        <f t="shared" si="9"/>
        <v>0</v>
      </c>
      <c r="M590" s="74">
        <f t="shared" si="9"/>
        <v>0</v>
      </c>
      <c r="N590" s="74">
        <f t="shared" si="9"/>
        <v>0</v>
      </c>
      <c r="O590" s="74"/>
    </row>
    <row r="591" spans="1:15" x14ac:dyDescent="0.2">
      <c r="A591" s="74"/>
      <c r="B591" s="74"/>
      <c r="C591" s="74" t="s">
        <v>502</v>
      </c>
      <c r="D591" s="261"/>
      <c r="E591" s="293">
        <v>0.01</v>
      </c>
      <c r="F591" s="293">
        <v>0.01</v>
      </c>
      <c r="G591" s="293">
        <v>0.01</v>
      </c>
      <c r="H591" s="293">
        <v>0.01</v>
      </c>
      <c r="I591" s="293">
        <v>0.01</v>
      </c>
      <c r="J591" s="293">
        <v>0.01</v>
      </c>
      <c r="K591" s="293">
        <v>0.01</v>
      </c>
      <c r="L591" s="293">
        <v>0.01</v>
      </c>
      <c r="M591" s="293">
        <v>0.01</v>
      </c>
      <c r="N591" s="293">
        <v>0.01</v>
      </c>
      <c r="O591" s="74"/>
    </row>
    <row r="592" spans="1:15" x14ac:dyDescent="0.2">
      <c r="A592" s="74"/>
      <c r="B592" s="74"/>
      <c r="C592" s="262"/>
      <c r="D592" s="261"/>
      <c r="E592" s="75"/>
      <c r="F592" s="75"/>
      <c r="G592" s="75"/>
      <c r="H592" s="75"/>
      <c r="I592" s="75"/>
      <c r="J592" s="75"/>
      <c r="K592" s="75"/>
      <c r="L592" s="75"/>
      <c r="M592" s="297"/>
      <c r="N592" s="75"/>
      <c r="O592" s="74"/>
    </row>
    <row r="593" spans="1:15" x14ac:dyDescent="0.2">
      <c r="A593" s="74"/>
      <c r="B593" s="74"/>
      <c r="C593" s="262"/>
      <c r="D593" s="261"/>
      <c r="E593" s="75" t="s">
        <v>503</v>
      </c>
      <c r="F593" s="75"/>
      <c r="G593" s="75"/>
      <c r="H593" s="75"/>
      <c r="I593" s="75"/>
      <c r="J593" s="75"/>
      <c r="K593" s="75"/>
      <c r="L593" s="75"/>
      <c r="M593" s="297"/>
      <c r="N593" s="75"/>
      <c r="O593" s="74"/>
    </row>
    <row r="594" spans="1:15" x14ac:dyDescent="0.2">
      <c r="A594" s="42"/>
      <c r="B594" s="42"/>
      <c r="C594" s="42"/>
      <c r="D594" s="42"/>
      <c r="E594" s="42">
        <v>1</v>
      </c>
      <c r="F594" s="42">
        <v>2</v>
      </c>
      <c r="G594" s="42">
        <v>3</v>
      </c>
      <c r="H594" s="42">
        <v>4</v>
      </c>
      <c r="I594" s="42">
        <v>5</v>
      </c>
      <c r="J594" s="42">
        <v>6</v>
      </c>
      <c r="K594" s="42">
        <v>7</v>
      </c>
      <c r="L594" s="42">
        <v>8</v>
      </c>
      <c r="M594" s="42">
        <v>9</v>
      </c>
      <c r="N594" s="42">
        <v>10</v>
      </c>
      <c r="O594" s="42"/>
    </row>
    <row r="595" spans="1:15" x14ac:dyDescent="0.2">
      <c r="A595" s="74"/>
      <c r="B595" s="74"/>
      <c r="C595" s="74" t="s">
        <v>504</v>
      </c>
      <c r="D595" s="261"/>
      <c r="E595" s="293">
        <v>0.05</v>
      </c>
      <c r="F595" s="293">
        <v>2.5000000000000001E-2</v>
      </c>
      <c r="G595" s="293">
        <v>1.2500000000000001E-2</v>
      </c>
      <c r="H595" s="293">
        <v>7.4999999999999997E-3</v>
      </c>
      <c r="I595" s="293">
        <v>0</v>
      </c>
      <c r="J595" s="293">
        <v>0</v>
      </c>
      <c r="K595" s="293">
        <v>0</v>
      </c>
      <c r="L595" s="293">
        <v>0</v>
      </c>
      <c r="M595" s="293">
        <v>0</v>
      </c>
      <c r="N595" s="293">
        <v>0</v>
      </c>
      <c r="O595" s="74"/>
    </row>
    <row r="596" spans="1:15" x14ac:dyDescent="0.2">
      <c r="A596" s="74"/>
      <c r="B596" s="74"/>
      <c r="C596" s="74" t="s">
        <v>505</v>
      </c>
      <c r="D596" s="261"/>
      <c r="E596" s="75"/>
      <c r="F596" s="75"/>
      <c r="G596" s="75"/>
      <c r="H596" s="75"/>
      <c r="I596" s="75"/>
      <c r="J596" s="75"/>
      <c r="K596" s="75"/>
      <c r="L596" s="75"/>
      <c r="M596" s="297"/>
      <c r="N596" s="75"/>
      <c r="O596" s="74"/>
    </row>
    <row r="597" spans="1:15" x14ac:dyDescent="0.2">
      <c r="A597" s="74"/>
      <c r="B597" s="74"/>
      <c r="C597" s="262"/>
      <c r="D597" s="261"/>
      <c r="E597" s="75" t="s">
        <v>506</v>
      </c>
      <c r="F597" s="75"/>
      <c r="G597" s="75"/>
      <c r="H597" s="75"/>
      <c r="I597" s="75"/>
      <c r="J597" s="75"/>
      <c r="K597" s="75"/>
      <c r="L597" s="75"/>
      <c r="M597" s="297"/>
      <c r="N597" s="75"/>
      <c r="O597" s="74"/>
    </row>
    <row r="598" spans="1:15" x14ac:dyDescent="0.2">
      <c r="A598" s="74"/>
      <c r="B598" s="74"/>
      <c r="C598" s="74"/>
      <c r="D598" s="261"/>
      <c r="E598" s="75">
        <f t="shared" ref="E598:N598" si="10">E561</f>
        <v>0</v>
      </c>
      <c r="F598" s="75">
        <f t="shared" si="10"/>
        <v>0</v>
      </c>
      <c r="G598" s="75">
        <f t="shared" si="10"/>
        <v>0</v>
      </c>
      <c r="H598" s="75">
        <f t="shared" si="10"/>
        <v>0</v>
      </c>
      <c r="I598" s="75">
        <f t="shared" si="10"/>
        <v>0</v>
      </c>
      <c r="J598" s="75">
        <f t="shared" si="10"/>
        <v>0</v>
      </c>
      <c r="K598" s="75">
        <f t="shared" si="10"/>
        <v>0</v>
      </c>
      <c r="L598" s="75">
        <f t="shared" si="10"/>
        <v>0</v>
      </c>
      <c r="M598" s="75">
        <f t="shared" si="10"/>
        <v>0</v>
      </c>
      <c r="N598" s="75">
        <f t="shared" si="10"/>
        <v>0</v>
      </c>
      <c r="O598" s="74"/>
    </row>
    <row r="599" spans="1:15" x14ac:dyDescent="0.2">
      <c r="A599" s="74"/>
      <c r="B599" s="74"/>
      <c r="C599" s="262" t="s">
        <v>507</v>
      </c>
      <c r="D599" s="261"/>
      <c r="E599" s="293">
        <v>0.02</v>
      </c>
      <c r="F599" s="293">
        <v>0.02</v>
      </c>
      <c r="G599" s="293">
        <v>0.02</v>
      </c>
      <c r="H599" s="293">
        <v>0.02</v>
      </c>
      <c r="I599" s="293">
        <v>0.02</v>
      </c>
      <c r="J599" s="293">
        <v>0.02</v>
      </c>
      <c r="K599" s="293">
        <v>0.02</v>
      </c>
      <c r="L599" s="293">
        <v>0.02</v>
      </c>
      <c r="M599" s="293">
        <v>0.02</v>
      </c>
      <c r="N599" s="293">
        <v>0.02</v>
      </c>
      <c r="O599" s="74"/>
    </row>
    <row r="600" spans="1:15" x14ac:dyDescent="0.2">
      <c r="A600" s="74"/>
      <c r="B600" s="74"/>
      <c r="C600" s="262"/>
      <c r="D600" s="261"/>
      <c r="E600" s="75"/>
      <c r="F600" s="75"/>
      <c r="G600" s="75"/>
      <c r="H600" s="75"/>
      <c r="I600" s="75"/>
      <c r="J600" s="75"/>
      <c r="K600" s="75"/>
      <c r="L600" s="75"/>
      <c r="M600" s="297"/>
      <c r="N600" s="75"/>
      <c r="O600" s="74"/>
    </row>
    <row r="601" spans="1:15" x14ac:dyDescent="0.2">
      <c r="A601" s="74"/>
      <c r="B601" s="74"/>
      <c r="C601" s="262"/>
      <c r="D601" s="261"/>
      <c r="E601" s="75">
        <f t="shared" ref="E601:N601" si="11">E561</f>
        <v>0</v>
      </c>
      <c r="F601" s="75">
        <f t="shared" si="11"/>
        <v>0</v>
      </c>
      <c r="G601" s="75">
        <f t="shared" si="11"/>
        <v>0</v>
      </c>
      <c r="H601" s="75">
        <f t="shared" si="11"/>
        <v>0</v>
      </c>
      <c r="I601" s="75">
        <f t="shared" si="11"/>
        <v>0</v>
      </c>
      <c r="J601" s="75">
        <f t="shared" si="11"/>
        <v>0</v>
      </c>
      <c r="K601" s="75">
        <f t="shared" si="11"/>
        <v>0</v>
      </c>
      <c r="L601" s="75">
        <f t="shared" si="11"/>
        <v>0</v>
      </c>
      <c r="M601" s="75">
        <f t="shared" si="11"/>
        <v>0</v>
      </c>
      <c r="N601" s="75">
        <f t="shared" si="11"/>
        <v>0</v>
      </c>
      <c r="O601" s="74"/>
    </row>
    <row r="602" spans="1:15" x14ac:dyDescent="0.2">
      <c r="A602" s="74"/>
      <c r="B602" s="74"/>
      <c r="C602" s="429" t="s">
        <v>508</v>
      </c>
      <c r="D602" s="423"/>
      <c r="E602" s="293">
        <v>0.02</v>
      </c>
      <c r="F602" s="293">
        <f t="shared" ref="F602:N602" si="12">E602</f>
        <v>0.02</v>
      </c>
      <c r="G602" s="293">
        <f t="shared" si="12"/>
        <v>0.02</v>
      </c>
      <c r="H602" s="293">
        <f t="shared" si="12"/>
        <v>0.02</v>
      </c>
      <c r="I602" s="293">
        <f t="shared" si="12"/>
        <v>0.02</v>
      </c>
      <c r="J602" s="293">
        <f t="shared" si="12"/>
        <v>0.02</v>
      </c>
      <c r="K602" s="293">
        <f t="shared" si="12"/>
        <v>0.02</v>
      </c>
      <c r="L602" s="293">
        <f t="shared" si="12"/>
        <v>0.02</v>
      </c>
      <c r="M602" s="293">
        <f t="shared" si="12"/>
        <v>0.02</v>
      </c>
      <c r="N602" s="293">
        <f t="shared" si="12"/>
        <v>0.02</v>
      </c>
      <c r="O602" s="74"/>
    </row>
    <row r="603" spans="1:15" x14ac:dyDescent="0.2">
      <c r="A603" s="74"/>
      <c r="B603" s="74"/>
      <c r="C603" s="262"/>
      <c r="D603" s="261"/>
      <c r="E603" s="75"/>
      <c r="F603" s="75"/>
      <c r="G603" s="75"/>
      <c r="H603" s="75"/>
      <c r="I603" s="75"/>
      <c r="J603" s="75"/>
      <c r="K603" s="75"/>
      <c r="L603" s="75"/>
      <c r="M603" s="297"/>
      <c r="N603" s="75"/>
      <c r="O603" s="74"/>
    </row>
    <row r="604" spans="1:15" x14ac:dyDescent="0.2">
      <c r="A604" s="74"/>
      <c r="B604" s="74"/>
      <c r="C604" s="262"/>
      <c r="D604" s="261"/>
      <c r="E604" s="75">
        <f t="shared" ref="E604:N604" si="13">E561</f>
        <v>0</v>
      </c>
      <c r="F604" s="75">
        <f t="shared" si="13"/>
        <v>0</v>
      </c>
      <c r="G604" s="75">
        <f t="shared" si="13"/>
        <v>0</v>
      </c>
      <c r="H604" s="75">
        <f t="shared" si="13"/>
        <v>0</v>
      </c>
      <c r="I604" s="75">
        <f t="shared" si="13"/>
        <v>0</v>
      </c>
      <c r="J604" s="75">
        <f t="shared" si="13"/>
        <v>0</v>
      </c>
      <c r="K604" s="75">
        <f t="shared" si="13"/>
        <v>0</v>
      </c>
      <c r="L604" s="75">
        <f t="shared" si="13"/>
        <v>0</v>
      </c>
      <c r="M604" s="75">
        <f t="shared" si="13"/>
        <v>0</v>
      </c>
      <c r="N604" s="75">
        <f t="shared" si="13"/>
        <v>0</v>
      </c>
      <c r="O604" s="74"/>
    </row>
    <row r="605" spans="1:15" x14ac:dyDescent="0.2">
      <c r="A605" s="42"/>
      <c r="B605" s="42"/>
      <c r="C605" s="423" t="s">
        <v>509</v>
      </c>
      <c r="D605" s="463"/>
      <c r="E605" s="293">
        <v>0.5</v>
      </c>
      <c r="F605" s="293">
        <v>0.5</v>
      </c>
      <c r="G605" s="293">
        <v>0.5</v>
      </c>
      <c r="H605" s="293">
        <v>0.5</v>
      </c>
      <c r="I605" s="293">
        <v>0.5</v>
      </c>
      <c r="J605" s="293">
        <v>0.5</v>
      </c>
      <c r="K605" s="293">
        <v>0.5</v>
      </c>
      <c r="L605" s="293">
        <v>0.5</v>
      </c>
      <c r="M605" s="293">
        <v>0.5</v>
      </c>
      <c r="N605" s="293">
        <v>0.5</v>
      </c>
      <c r="O605" s="42"/>
    </row>
    <row r="606" spans="1:15" x14ac:dyDescent="0.2">
      <c r="A606" s="42"/>
      <c r="B606" s="42"/>
      <c r="C606" s="423" t="s">
        <v>510</v>
      </c>
      <c r="D606" s="463"/>
      <c r="E606" s="298">
        <v>0.6</v>
      </c>
      <c r="F606" s="298">
        <f t="shared" ref="F606:N606" si="14">E606</f>
        <v>0.6</v>
      </c>
      <c r="G606" s="298">
        <f t="shared" si="14"/>
        <v>0.6</v>
      </c>
      <c r="H606" s="298">
        <f t="shared" si="14"/>
        <v>0.6</v>
      </c>
      <c r="I606" s="298">
        <f t="shared" si="14"/>
        <v>0.6</v>
      </c>
      <c r="J606" s="298">
        <f t="shared" si="14"/>
        <v>0.6</v>
      </c>
      <c r="K606" s="298">
        <f t="shared" si="14"/>
        <v>0.6</v>
      </c>
      <c r="L606" s="298">
        <f t="shared" si="14"/>
        <v>0.6</v>
      </c>
      <c r="M606" s="298">
        <f t="shared" si="14"/>
        <v>0.6</v>
      </c>
      <c r="N606" s="298">
        <f t="shared" si="14"/>
        <v>0.6</v>
      </c>
      <c r="O606" s="42"/>
    </row>
    <row r="612" spans="1:15" ht="15" x14ac:dyDescent="0.2">
      <c r="A612" s="221"/>
      <c r="B612" s="165"/>
      <c r="C612" s="408" t="s">
        <v>511</v>
      </c>
      <c r="D612" s="409"/>
      <c r="E612" s="409"/>
      <c r="F612" s="409"/>
      <c r="G612" s="409"/>
      <c r="H612" s="409"/>
      <c r="I612" s="409"/>
      <c r="J612" s="409"/>
      <c r="K612" s="409"/>
      <c r="L612" s="410"/>
      <c r="M612" s="410"/>
      <c r="N612" s="165"/>
      <c r="O612" s="165"/>
    </row>
    <row r="613" spans="1:15" ht="15" x14ac:dyDescent="0.2">
      <c r="A613" s="221"/>
      <c r="B613" s="165"/>
      <c r="C613" s="409"/>
      <c r="D613" s="409"/>
      <c r="E613" s="409"/>
      <c r="F613" s="409"/>
      <c r="G613" s="409"/>
      <c r="H613" s="409"/>
      <c r="I613" s="409"/>
      <c r="J613" s="409"/>
      <c r="K613" s="409"/>
      <c r="L613" s="410"/>
      <c r="M613" s="410"/>
      <c r="N613" s="165"/>
      <c r="O613" s="165"/>
    </row>
    <row r="614" spans="1:15" ht="5.0999999999999996" customHeight="1" x14ac:dyDescent="0.2">
      <c r="A614" s="223"/>
      <c r="B614" s="42"/>
      <c r="C614" s="42"/>
      <c r="D614" s="42"/>
      <c r="E614" s="42"/>
      <c r="F614" s="42"/>
      <c r="G614" s="42"/>
      <c r="H614" s="42"/>
      <c r="I614" s="42"/>
      <c r="J614" s="42"/>
      <c r="K614" s="42"/>
      <c r="L614" s="42"/>
      <c r="M614" s="42"/>
      <c r="N614" s="42"/>
      <c r="O614" s="42"/>
    </row>
    <row r="615" spans="1:15" ht="15" x14ac:dyDescent="0.2">
      <c r="A615" s="270"/>
      <c r="B615" s="74"/>
      <c r="C615" s="164"/>
      <c r="D615" s="164"/>
      <c r="E615" s="164"/>
      <c r="F615" s="164"/>
      <c r="G615" s="164"/>
      <c r="H615" s="164"/>
      <c r="I615" s="164"/>
      <c r="J615" s="164"/>
      <c r="K615" s="164"/>
      <c r="L615" s="164"/>
      <c r="M615" s="164"/>
      <c r="N615" s="164"/>
      <c r="O615" s="164"/>
    </row>
    <row r="616" spans="1:15" ht="15" x14ac:dyDescent="0.2">
      <c r="A616" s="224"/>
      <c r="B616" s="42"/>
      <c r="C616" s="42"/>
      <c r="D616" s="42"/>
      <c r="E616" s="42"/>
      <c r="F616" s="42"/>
      <c r="G616" s="42"/>
      <c r="H616" s="42"/>
      <c r="I616" s="42"/>
      <c r="J616" s="42"/>
      <c r="K616" s="42"/>
      <c r="L616" s="42"/>
      <c r="M616" s="42"/>
      <c r="N616" s="42"/>
      <c r="O616" s="42"/>
    </row>
    <row r="617" spans="1:15" ht="15" x14ac:dyDescent="0.2">
      <c r="A617" s="224"/>
      <c r="B617" s="42"/>
      <c r="C617" s="326" t="s">
        <v>512</v>
      </c>
      <c r="D617" s="392"/>
      <c r="E617" s="394"/>
      <c r="F617" s="394"/>
      <c r="G617" s="394"/>
      <c r="H617" s="394"/>
      <c r="I617" s="394"/>
      <c r="J617" s="394"/>
      <c r="K617" s="394"/>
      <c r="L617" s="394"/>
      <c r="M617" s="394"/>
      <c r="N617" s="392"/>
      <c r="O617" s="392"/>
    </row>
    <row r="618" spans="1:15" ht="15" x14ac:dyDescent="0.2">
      <c r="A618" s="224"/>
      <c r="B618" s="42"/>
      <c r="C618" s="224"/>
      <c r="D618" s="224"/>
      <c r="E618" s="358"/>
      <c r="F618" s="358"/>
      <c r="G618" s="358"/>
      <c r="H618" s="358"/>
      <c r="I618" s="358"/>
      <c r="J618" s="358"/>
      <c r="K618" s="358"/>
      <c r="L618" s="358"/>
      <c r="M618" s="358"/>
      <c r="N618" s="224"/>
      <c r="O618" s="224"/>
    </row>
    <row r="619" spans="1:15" ht="30" customHeight="1" x14ac:dyDescent="0.2">
      <c r="A619" s="224"/>
      <c r="B619" s="42"/>
      <c r="C619" s="445" t="s">
        <v>432</v>
      </c>
      <c r="D619" s="445"/>
      <c r="E619" s="335" t="str">
        <f>'[2]Product Design'!E21</f>
        <v>Amount of the Loan</v>
      </c>
      <c r="F619" s="335" t="str">
        <f>'[2]Product Design'!F21</f>
        <v xml:space="preserve">Annual Interest Rate </v>
      </c>
      <c r="G619" s="335" t="str">
        <f>'[2]Product Design'!G21</f>
        <v>PMI if applicable (%)</v>
      </c>
      <c r="H619" s="335" t="str">
        <f>'[2]Product Design'!H21</f>
        <v>Term in Months</v>
      </c>
      <c r="I619" s="335" t="str">
        <f>'[2]Product Design'!I21</f>
        <v>Monthly Payment</v>
      </c>
      <c r="J619" s="335" t="str">
        <f>'[2]Product Design'!J21</f>
        <v>Borrower Credit Score</v>
      </c>
      <c r="K619" s="335" t="str">
        <f>'[2]Product Design'!K21</f>
        <v>Maximum Borrower LTV</v>
      </c>
      <c r="L619" s="335" t="str">
        <f>'[2]Product Design'!L21</f>
        <v>Debt Service to Income</v>
      </c>
      <c r="M619" s="335" t="str">
        <f>'[2]Product Design'!M21</f>
        <v>Borrower Annual Income $</v>
      </c>
      <c r="N619" s="335" t="str">
        <f>'[2]Product Design'!N21</f>
        <v>Borrower Equity Required %</v>
      </c>
      <c r="O619" s="335" t="str">
        <f>'[2]Product Design'!O21</f>
        <v>Borrower Equity Required $</v>
      </c>
    </row>
    <row r="620" spans="1:15" ht="15" x14ac:dyDescent="0.2">
      <c r="A620" s="224"/>
      <c r="B620" s="42"/>
      <c r="C620" s="224"/>
      <c r="D620" s="224"/>
      <c r="E620" s="335"/>
      <c r="F620" s="335"/>
      <c r="G620" s="335"/>
      <c r="H620" s="335"/>
      <c r="I620" s="335"/>
      <c r="J620" s="335"/>
      <c r="K620" s="335"/>
      <c r="L620" s="335"/>
      <c r="M620" s="335"/>
      <c r="N620" s="335"/>
      <c r="O620" s="335"/>
    </row>
    <row r="621" spans="1:15" ht="15" x14ac:dyDescent="0.2">
      <c r="A621" s="224"/>
      <c r="B621" s="42"/>
      <c r="C621" s="349" t="s">
        <v>434</v>
      </c>
      <c r="D621" s="224"/>
      <c r="E621" s="350">
        <f>'[2]Product Design'!E23</f>
        <v>250000</v>
      </c>
      <c r="F621" s="350">
        <f>'[2]Product Design'!F23</f>
        <v>0.04</v>
      </c>
      <c r="G621" s="350">
        <f>'[2]Product Design'!G23</f>
        <v>6.0000000000000001E-3</v>
      </c>
      <c r="H621" s="350">
        <f>'[2]Product Design'!H23</f>
        <v>360</v>
      </c>
      <c r="I621" s="350">
        <f>'[2]Product Design'!I23</f>
        <v>1281.6109205244741</v>
      </c>
      <c r="J621" s="350">
        <f>'[2]Product Design'!J23</f>
        <v>600</v>
      </c>
      <c r="K621" s="350">
        <f>'[2]Product Design'!K23</f>
        <v>0.99502487562189057</v>
      </c>
      <c r="L621" s="350">
        <f>'[2]Product Design'!L23</f>
        <v>0.45233326606746144</v>
      </c>
      <c r="M621" s="350">
        <f>'[2]Product Design'!M23</f>
        <v>34000</v>
      </c>
      <c r="N621" s="350">
        <f>'[2]Product Design'!N23</f>
        <v>4.9751243781094526E-3</v>
      </c>
      <c r="O621" s="350">
        <f>'[2]Product Design'!O23</f>
        <v>1250</v>
      </c>
    </row>
    <row r="622" spans="1:15" ht="15" x14ac:dyDescent="0.2">
      <c r="A622" s="224"/>
      <c r="B622" s="42"/>
      <c r="C622" s="224"/>
      <c r="D622" s="224"/>
      <c r="E622" s="224"/>
      <c r="F622" s="224"/>
      <c r="G622" s="224"/>
      <c r="H622" s="224"/>
      <c r="I622" s="224"/>
      <c r="J622" s="224"/>
      <c r="K622" s="224"/>
      <c r="L622" s="224"/>
      <c r="M622" s="224"/>
      <c r="N622" s="224"/>
      <c r="O622" s="224"/>
    </row>
    <row r="623" spans="1:15" ht="15" customHeight="1" x14ac:dyDescent="0.2">
      <c r="A623" s="271"/>
      <c r="B623" s="74"/>
      <c r="C623" s="224"/>
      <c r="D623" s="224"/>
      <c r="E623" s="224"/>
      <c r="F623" s="224"/>
      <c r="G623" s="224"/>
      <c r="H623" s="224"/>
      <c r="I623" s="224"/>
      <c r="J623" s="224"/>
      <c r="K623" s="224"/>
      <c r="L623" s="224"/>
      <c r="M623" s="224"/>
      <c r="N623" s="224"/>
      <c r="O623" s="224"/>
    </row>
    <row r="624" spans="1:15" ht="15.75" x14ac:dyDescent="0.2">
      <c r="A624" s="271"/>
      <c r="B624" s="74"/>
      <c r="C624" s="393" t="s">
        <v>513</v>
      </c>
      <c r="D624" s="392"/>
      <c r="E624" s="392"/>
      <c r="F624" s="392"/>
      <c r="G624" s="392"/>
      <c r="H624" s="392"/>
      <c r="I624" s="392"/>
      <c r="J624" s="392"/>
      <c r="K624" s="392"/>
      <c r="L624" s="392"/>
      <c r="M624" s="392"/>
      <c r="N624" s="392"/>
      <c r="O624" s="392"/>
    </row>
    <row r="625" spans="1:15" ht="15" x14ac:dyDescent="0.2">
      <c r="A625" s="271"/>
      <c r="B625" s="74"/>
      <c r="C625" s="383"/>
      <c r="D625" s="271"/>
      <c r="E625" s="271"/>
      <c r="F625" s="271"/>
      <c r="G625" s="271"/>
      <c r="H625" s="271"/>
      <c r="I625" s="271"/>
      <c r="J625" s="271"/>
      <c r="K625" s="271"/>
      <c r="L625" s="271"/>
      <c r="M625" s="271"/>
      <c r="N625" s="271"/>
      <c r="O625" s="271"/>
    </row>
    <row r="626" spans="1:15" ht="15" x14ac:dyDescent="0.2">
      <c r="A626" s="271"/>
      <c r="B626" s="74"/>
      <c r="C626" s="383"/>
      <c r="D626" s="271"/>
      <c r="E626" s="455" t="s">
        <v>514</v>
      </c>
      <c r="F626" s="446"/>
      <c r="G626" s="446"/>
      <c r="H626" s="446"/>
      <c r="I626" s="446"/>
      <c r="J626" s="446"/>
      <c r="K626" s="446"/>
      <c r="L626" s="446"/>
      <c r="M626" s="446"/>
      <c r="N626" s="446"/>
      <c r="O626" s="271"/>
    </row>
    <row r="627" spans="1:15" ht="15" x14ac:dyDescent="0.2">
      <c r="A627" s="271"/>
      <c r="B627" s="74"/>
      <c r="C627" s="383"/>
      <c r="D627" s="271"/>
      <c r="E627" s="455"/>
      <c r="F627" s="446"/>
      <c r="G627" s="446"/>
      <c r="H627" s="446"/>
      <c r="I627" s="446"/>
      <c r="J627" s="446"/>
      <c r="K627" s="446"/>
      <c r="L627" s="446"/>
      <c r="M627" s="446"/>
      <c r="N627" s="446"/>
      <c r="O627" s="271"/>
    </row>
    <row r="628" spans="1:15" ht="15" x14ac:dyDescent="0.2">
      <c r="A628" s="271"/>
      <c r="B628" s="74"/>
      <c r="C628" s="383"/>
      <c r="D628" s="271"/>
      <c r="E628" s="455"/>
      <c r="F628" s="446"/>
      <c r="G628" s="446"/>
      <c r="H628" s="446"/>
      <c r="I628" s="446"/>
      <c r="J628" s="446"/>
      <c r="K628" s="446"/>
      <c r="L628" s="446"/>
      <c r="M628" s="446"/>
      <c r="N628" s="446"/>
      <c r="O628" s="271"/>
    </row>
    <row r="629" spans="1:15" ht="15" x14ac:dyDescent="0.2">
      <c r="A629" s="271"/>
      <c r="B629" s="74"/>
      <c r="C629" s="383"/>
      <c r="D629" s="271"/>
      <c r="E629" s="446"/>
      <c r="F629" s="446"/>
      <c r="G629" s="446"/>
      <c r="H629" s="446"/>
      <c r="I629" s="446"/>
      <c r="J629" s="446"/>
      <c r="K629" s="446"/>
      <c r="L629" s="446"/>
      <c r="M629" s="446"/>
      <c r="N629" s="446"/>
      <c r="O629" s="271"/>
    </row>
    <row r="630" spans="1:15" ht="15" x14ac:dyDescent="0.2">
      <c r="A630" s="271"/>
      <c r="B630" s="74"/>
      <c r="C630" s="383"/>
      <c r="D630" s="271"/>
      <c r="E630" s="358"/>
      <c r="F630" s="358"/>
      <c r="G630" s="358"/>
      <c r="H630" s="358"/>
      <c r="I630" s="358"/>
      <c r="J630" s="358"/>
      <c r="K630" s="358"/>
      <c r="L630" s="358"/>
      <c r="M630" s="358"/>
      <c r="N630" s="358"/>
      <c r="O630" s="271"/>
    </row>
    <row r="631" spans="1:15" ht="15" x14ac:dyDescent="0.2">
      <c r="A631" s="271"/>
      <c r="B631" s="74"/>
      <c r="C631" s="76" t="s">
        <v>515</v>
      </c>
      <c r="D631" s="271"/>
      <c r="E631" s="271">
        <f>'[2]Program design'!E31</f>
        <v>2016</v>
      </c>
      <c r="F631" s="271">
        <f>'[2]Program design'!F31</f>
        <v>2017</v>
      </c>
      <c r="G631" s="271">
        <f>'[2]Program design'!G31</f>
        <v>2018</v>
      </c>
      <c r="H631" s="271">
        <f>'[2]Program design'!H31</f>
        <v>2019</v>
      </c>
      <c r="I631" s="271">
        <f>'[2]Program design'!I31</f>
        <v>2020</v>
      </c>
      <c r="J631" s="271">
        <f>'[2]Program design'!J31</f>
        <v>2021</v>
      </c>
      <c r="K631" s="271">
        <f>'[2]Program design'!K31</f>
        <v>2022</v>
      </c>
      <c r="L631" s="271">
        <f>'[2]Program design'!L31</f>
        <v>2023</v>
      </c>
      <c r="M631" s="271">
        <f>'[2]Program design'!M31</f>
        <v>2024</v>
      </c>
      <c r="N631" s="271">
        <f>'[2]Program design'!N31</f>
        <v>2025</v>
      </c>
      <c r="O631" s="271"/>
    </row>
    <row r="632" spans="1:15" ht="15" x14ac:dyDescent="0.2">
      <c r="A632" s="271"/>
      <c r="B632" s="74"/>
      <c r="C632" s="387" t="s">
        <v>0</v>
      </c>
      <c r="D632" s="271"/>
      <c r="E632" s="391">
        <v>1</v>
      </c>
      <c r="F632" s="391">
        <f t="shared" ref="F632:N632" si="15">E632</f>
        <v>1</v>
      </c>
      <c r="G632" s="391">
        <f t="shared" si="15"/>
        <v>1</v>
      </c>
      <c r="H632" s="391">
        <f t="shared" si="15"/>
        <v>1</v>
      </c>
      <c r="I632" s="391">
        <f t="shared" si="15"/>
        <v>1</v>
      </c>
      <c r="J632" s="391">
        <f t="shared" si="15"/>
        <v>1</v>
      </c>
      <c r="K632" s="391">
        <f t="shared" si="15"/>
        <v>1</v>
      </c>
      <c r="L632" s="391">
        <f t="shared" si="15"/>
        <v>1</v>
      </c>
      <c r="M632" s="391">
        <f t="shared" si="15"/>
        <v>1</v>
      </c>
      <c r="N632" s="391">
        <f t="shared" si="15"/>
        <v>1</v>
      </c>
      <c r="O632" s="271"/>
    </row>
    <row r="633" spans="1:15" ht="15" x14ac:dyDescent="0.2">
      <c r="A633" s="271"/>
      <c r="B633" s="74"/>
      <c r="C633" s="387" t="s">
        <v>1</v>
      </c>
      <c r="D633" s="271"/>
      <c r="E633" s="391">
        <v>0</v>
      </c>
      <c r="F633" s="391">
        <f t="shared" ref="F633:N633" si="16">E633</f>
        <v>0</v>
      </c>
      <c r="G633" s="391">
        <f t="shared" si="16"/>
        <v>0</v>
      </c>
      <c r="H633" s="391">
        <f t="shared" si="16"/>
        <v>0</v>
      </c>
      <c r="I633" s="391">
        <f t="shared" si="16"/>
        <v>0</v>
      </c>
      <c r="J633" s="391">
        <f t="shared" si="16"/>
        <v>0</v>
      </c>
      <c r="K633" s="391">
        <f t="shared" si="16"/>
        <v>0</v>
      </c>
      <c r="L633" s="391">
        <f t="shared" si="16"/>
        <v>0</v>
      </c>
      <c r="M633" s="391">
        <f t="shared" si="16"/>
        <v>0</v>
      </c>
      <c r="N633" s="391">
        <f t="shared" si="16"/>
        <v>0</v>
      </c>
      <c r="O633" s="271"/>
    </row>
    <row r="634" spans="1:15" ht="15" x14ac:dyDescent="0.2">
      <c r="A634" s="271"/>
      <c r="B634" s="74"/>
      <c r="C634" s="387" t="s">
        <v>2</v>
      </c>
      <c r="D634" s="271"/>
      <c r="E634" s="391">
        <v>3</v>
      </c>
      <c r="F634" s="391">
        <v>5</v>
      </c>
      <c r="G634" s="391">
        <v>10</v>
      </c>
      <c r="H634" s="391">
        <f t="shared" ref="H634:N639" si="17">G634</f>
        <v>10</v>
      </c>
      <c r="I634" s="391">
        <f t="shared" si="17"/>
        <v>10</v>
      </c>
      <c r="J634" s="391">
        <f t="shared" si="17"/>
        <v>10</v>
      </c>
      <c r="K634" s="391">
        <f t="shared" si="17"/>
        <v>10</v>
      </c>
      <c r="L634" s="391">
        <f t="shared" si="17"/>
        <v>10</v>
      </c>
      <c r="M634" s="391">
        <f t="shared" si="17"/>
        <v>10</v>
      </c>
      <c r="N634" s="391">
        <f t="shared" si="17"/>
        <v>10</v>
      </c>
      <c r="O634" s="271"/>
    </row>
    <row r="635" spans="1:15" ht="15" x14ac:dyDescent="0.2">
      <c r="A635" s="271"/>
      <c r="B635" s="74"/>
      <c r="C635" s="387" t="s">
        <v>3</v>
      </c>
      <c r="D635" s="271"/>
      <c r="E635" s="391">
        <v>0</v>
      </c>
      <c r="F635" s="391">
        <f>E635</f>
        <v>0</v>
      </c>
      <c r="G635" s="391">
        <f>F635</f>
        <v>0</v>
      </c>
      <c r="H635" s="391">
        <f t="shared" si="17"/>
        <v>0</v>
      </c>
      <c r="I635" s="391">
        <f t="shared" si="17"/>
        <v>0</v>
      </c>
      <c r="J635" s="391">
        <f t="shared" si="17"/>
        <v>0</v>
      </c>
      <c r="K635" s="391">
        <f t="shared" si="17"/>
        <v>0</v>
      </c>
      <c r="L635" s="391">
        <f t="shared" si="17"/>
        <v>0</v>
      </c>
      <c r="M635" s="391">
        <f t="shared" si="17"/>
        <v>0</v>
      </c>
      <c r="N635" s="391">
        <f t="shared" si="17"/>
        <v>0</v>
      </c>
      <c r="O635" s="271"/>
    </row>
    <row r="636" spans="1:15" ht="15" x14ac:dyDescent="0.2">
      <c r="A636" s="271"/>
      <c r="B636" s="74"/>
      <c r="C636" s="387" t="s">
        <v>476</v>
      </c>
      <c r="D636" s="271"/>
      <c r="E636" s="391">
        <v>0</v>
      </c>
      <c r="F636" s="391">
        <f>E636</f>
        <v>0</v>
      </c>
      <c r="G636" s="391">
        <f>F636</f>
        <v>0</v>
      </c>
      <c r="H636" s="391">
        <f t="shared" si="17"/>
        <v>0</v>
      </c>
      <c r="I636" s="391">
        <f t="shared" si="17"/>
        <v>0</v>
      </c>
      <c r="J636" s="391">
        <f t="shared" si="17"/>
        <v>0</v>
      </c>
      <c r="K636" s="391">
        <f t="shared" si="17"/>
        <v>0</v>
      </c>
      <c r="L636" s="391">
        <f t="shared" si="17"/>
        <v>0</v>
      </c>
      <c r="M636" s="391">
        <f t="shared" si="17"/>
        <v>0</v>
      </c>
      <c r="N636" s="391">
        <f t="shared" si="17"/>
        <v>0</v>
      </c>
      <c r="O636" s="271"/>
    </row>
    <row r="637" spans="1:15" ht="15" x14ac:dyDescent="0.2">
      <c r="A637" s="271"/>
      <c r="B637" s="74"/>
      <c r="C637" s="387" t="s">
        <v>4</v>
      </c>
      <c r="D637" s="271"/>
      <c r="E637" s="391">
        <v>3</v>
      </c>
      <c r="F637" s="391">
        <v>5</v>
      </c>
      <c r="G637" s="391">
        <v>5</v>
      </c>
      <c r="H637" s="391">
        <f t="shared" si="17"/>
        <v>5</v>
      </c>
      <c r="I637" s="391">
        <f t="shared" si="17"/>
        <v>5</v>
      </c>
      <c r="J637" s="391">
        <f t="shared" si="17"/>
        <v>5</v>
      </c>
      <c r="K637" s="391">
        <f t="shared" si="17"/>
        <v>5</v>
      </c>
      <c r="L637" s="391">
        <f t="shared" si="17"/>
        <v>5</v>
      </c>
      <c r="M637" s="391">
        <f t="shared" si="17"/>
        <v>5</v>
      </c>
      <c r="N637" s="391">
        <f t="shared" si="17"/>
        <v>5</v>
      </c>
      <c r="O637" s="271"/>
    </row>
    <row r="638" spans="1:15" ht="15" x14ac:dyDescent="0.2">
      <c r="A638" s="271"/>
      <c r="B638" s="74"/>
      <c r="C638" s="387" t="s">
        <v>516</v>
      </c>
      <c r="D638" s="271"/>
      <c r="E638" s="391">
        <v>2</v>
      </c>
      <c r="F638" s="391">
        <v>2</v>
      </c>
      <c r="G638" s="391">
        <v>4</v>
      </c>
      <c r="H638" s="391">
        <f t="shared" si="17"/>
        <v>4</v>
      </c>
      <c r="I638" s="391">
        <f t="shared" si="17"/>
        <v>4</v>
      </c>
      <c r="J638" s="391">
        <f t="shared" si="17"/>
        <v>4</v>
      </c>
      <c r="K638" s="391">
        <f t="shared" si="17"/>
        <v>4</v>
      </c>
      <c r="L638" s="391">
        <f t="shared" si="17"/>
        <v>4</v>
      </c>
      <c r="M638" s="391">
        <f t="shared" si="17"/>
        <v>4</v>
      </c>
      <c r="N638" s="391">
        <f t="shared" si="17"/>
        <v>4</v>
      </c>
      <c r="O638" s="271"/>
    </row>
    <row r="639" spans="1:15" ht="15" x14ac:dyDescent="0.2">
      <c r="A639" s="271"/>
      <c r="B639" s="74"/>
      <c r="C639" s="387" t="s">
        <v>517</v>
      </c>
      <c r="D639" s="271"/>
      <c r="E639" s="391">
        <v>3</v>
      </c>
      <c r="F639" s="391">
        <f>E639</f>
        <v>3</v>
      </c>
      <c r="G639" s="391">
        <f>F639</f>
        <v>3</v>
      </c>
      <c r="H639" s="391">
        <f t="shared" si="17"/>
        <v>3</v>
      </c>
      <c r="I639" s="391">
        <f t="shared" si="17"/>
        <v>3</v>
      </c>
      <c r="J639" s="391">
        <f t="shared" si="17"/>
        <v>3</v>
      </c>
      <c r="K639" s="391">
        <f t="shared" si="17"/>
        <v>3</v>
      </c>
      <c r="L639" s="391">
        <f t="shared" si="17"/>
        <v>3</v>
      </c>
      <c r="M639" s="391">
        <f t="shared" si="17"/>
        <v>3</v>
      </c>
      <c r="N639" s="391">
        <f t="shared" si="17"/>
        <v>3</v>
      </c>
      <c r="O639" s="271"/>
    </row>
    <row r="640" spans="1:15" ht="15" x14ac:dyDescent="0.2">
      <c r="A640" s="271"/>
      <c r="B640" s="74"/>
      <c r="C640" s="387" t="s">
        <v>518</v>
      </c>
      <c r="D640" s="271"/>
      <c r="E640" s="390">
        <f t="shared" ref="E640:N640" si="18">SUM(E632:E639)</f>
        <v>12</v>
      </c>
      <c r="F640" s="390">
        <f t="shared" si="18"/>
        <v>16</v>
      </c>
      <c r="G640" s="390">
        <f t="shared" si="18"/>
        <v>23</v>
      </c>
      <c r="H640" s="390">
        <f t="shared" si="18"/>
        <v>23</v>
      </c>
      <c r="I640" s="390">
        <f t="shared" si="18"/>
        <v>23</v>
      </c>
      <c r="J640" s="390">
        <f t="shared" si="18"/>
        <v>23</v>
      </c>
      <c r="K640" s="390">
        <f t="shared" si="18"/>
        <v>23</v>
      </c>
      <c r="L640" s="390">
        <f t="shared" si="18"/>
        <v>23</v>
      </c>
      <c r="M640" s="390">
        <f t="shared" si="18"/>
        <v>23</v>
      </c>
      <c r="N640" s="390">
        <f t="shared" si="18"/>
        <v>23</v>
      </c>
      <c r="O640" s="271"/>
    </row>
    <row r="641" spans="1:15" ht="15" x14ac:dyDescent="0.2">
      <c r="A641" s="271"/>
      <c r="B641" s="74"/>
      <c r="C641" s="383"/>
      <c r="D641" s="271"/>
      <c r="E641" s="358"/>
      <c r="F641" s="358"/>
      <c r="G641" s="358"/>
      <c r="H641" s="358"/>
      <c r="I641" s="358"/>
      <c r="J641" s="358"/>
      <c r="K641" s="358"/>
      <c r="L641" s="358"/>
      <c r="M641" s="358"/>
      <c r="N641" s="358"/>
      <c r="O641" s="271"/>
    </row>
    <row r="642" spans="1:15" ht="15" x14ac:dyDescent="0.2">
      <c r="A642" s="271"/>
      <c r="B642" s="74"/>
      <c r="C642" s="271" t="s">
        <v>519</v>
      </c>
      <c r="D642" s="271"/>
      <c r="E642" s="389">
        <v>0.02</v>
      </c>
      <c r="F642" s="358"/>
      <c r="G642" s="358"/>
      <c r="H642" s="358"/>
      <c r="I642" s="358"/>
      <c r="J642" s="358"/>
      <c r="K642" s="358"/>
      <c r="L642" s="358"/>
      <c r="M642" s="358"/>
      <c r="N642" s="358"/>
      <c r="O642" s="271"/>
    </row>
    <row r="643" spans="1:15" ht="15" x14ac:dyDescent="0.2">
      <c r="A643" s="271"/>
      <c r="B643" s="74"/>
      <c r="C643" s="383"/>
      <c r="D643" s="271"/>
      <c r="E643" s="358"/>
      <c r="F643" s="358"/>
      <c r="G643" s="358"/>
      <c r="H643" s="358"/>
      <c r="I643" s="358"/>
      <c r="J643" s="358"/>
      <c r="K643" s="358"/>
      <c r="L643" s="358"/>
      <c r="M643" s="358"/>
      <c r="N643" s="358"/>
      <c r="O643" s="271"/>
    </row>
    <row r="644" spans="1:15" ht="15" x14ac:dyDescent="0.2">
      <c r="A644" s="271"/>
      <c r="B644" s="74"/>
      <c r="C644" s="76" t="s">
        <v>520</v>
      </c>
      <c r="D644" s="271"/>
      <c r="E644" s="358">
        <f>'[2]Program design'!E31</f>
        <v>2016</v>
      </c>
      <c r="F644" s="358">
        <f>'[2]Program design'!F31</f>
        <v>2017</v>
      </c>
      <c r="G644" s="358">
        <f>'[2]Program design'!G31</f>
        <v>2018</v>
      </c>
      <c r="H644" s="358">
        <f>'[2]Program design'!H31</f>
        <v>2019</v>
      </c>
      <c r="I644" s="358">
        <f>'[2]Program design'!I31</f>
        <v>2020</v>
      </c>
      <c r="J644" s="358">
        <f>'[2]Program design'!J31</f>
        <v>2021</v>
      </c>
      <c r="K644" s="358">
        <f>'[2]Program design'!K31</f>
        <v>2022</v>
      </c>
      <c r="L644" s="358">
        <f>'[2]Program design'!L31</f>
        <v>2023</v>
      </c>
      <c r="M644" s="358">
        <f>'[2]Program design'!M31</f>
        <v>2024</v>
      </c>
      <c r="N644" s="358">
        <f>'[2]Program design'!N31</f>
        <v>2025</v>
      </c>
      <c r="O644" s="271"/>
    </row>
    <row r="645" spans="1:15" ht="15" x14ac:dyDescent="0.2">
      <c r="A645" s="271"/>
      <c r="B645" s="74"/>
      <c r="C645" s="387" t="s">
        <v>0</v>
      </c>
      <c r="D645" s="271"/>
      <c r="E645" s="388">
        <v>120000</v>
      </c>
      <c r="F645" s="388">
        <f t="shared" ref="F645:N645" si="19">E645*(1+$E$642)</f>
        <v>122400</v>
      </c>
      <c r="G645" s="388">
        <f t="shared" si="19"/>
        <v>124848</v>
      </c>
      <c r="H645" s="388">
        <f t="shared" si="19"/>
        <v>127344.96000000001</v>
      </c>
      <c r="I645" s="388">
        <f t="shared" si="19"/>
        <v>129891.85920000001</v>
      </c>
      <c r="J645" s="388">
        <f t="shared" si="19"/>
        <v>132489.69638400001</v>
      </c>
      <c r="K645" s="388">
        <f t="shared" si="19"/>
        <v>135139.49031168001</v>
      </c>
      <c r="L645" s="388">
        <f t="shared" si="19"/>
        <v>137842.28011791361</v>
      </c>
      <c r="M645" s="388">
        <f t="shared" si="19"/>
        <v>140599.1257202719</v>
      </c>
      <c r="N645" s="388">
        <f t="shared" si="19"/>
        <v>143411.10823467735</v>
      </c>
      <c r="O645" s="271"/>
    </row>
    <row r="646" spans="1:15" ht="15" x14ac:dyDescent="0.2">
      <c r="A646" s="271"/>
      <c r="B646" s="74"/>
      <c r="C646" s="387" t="s">
        <v>1</v>
      </c>
      <c r="D646" s="271"/>
      <c r="E646" s="388">
        <v>0</v>
      </c>
      <c r="F646" s="388">
        <f t="shared" ref="F646:N646" si="20">E646*(1+$E$642)</f>
        <v>0</v>
      </c>
      <c r="G646" s="388">
        <f t="shared" si="20"/>
        <v>0</v>
      </c>
      <c r="H646" s="388">
        <f t="shared" si="20"/>
        <v>0</v>
      </c>
      <c r="I646" s="388">
        <f t="shared" si="20"/>
        <v>0</v>
      </c>
      <c r="J646" s="388">
        <f t="shared" si="20"/>
        <v>0</v>
      </c>
      <c r="K646" s="388">
        <f t="shared" si="20"/>
        <v>0</v>
      </c>
      <c r="L646" s="388">
        <f t="shared" si="20"/>
        <v>0</v>
      </c>
      <c r="M646" s="388">
        <f t="shared" si="20"/>
        <v>0</v>
      </c>
      <c r="N646" s="388">
        <f t="shared" si="20"/>
        <v>0</v>
      </c>
      <c r="O646" s="271"/>
    </row>
    <row r="647" spans="1:15" ht="15" x14ac:dyDescent="0.2">
      <c r="A647" s="271"/>
      <c r="B647" s="74"/>
      <c r="C647" s="387" t="s">
        <v>2</v>
      </c>
      <c r="D647" s="271"/>
      <c r="E647" s="388">
        <v>75000</v>
      </c>
      <c r="F647" s="388">
        <f t="shared" ref="F647:N647" si="21">E647*(1+$E$642)</f>
        <v>76500</v>
      </c>
      <c r="G647" s="388">
        <f t="shared" si="21"/>
        <v>78030</v>
      </c>
      <c r="H647" s="388">
        <f t="shared" si="21"/>
        <v>79590.600000000006</v>
      </c>
      <c r="I647" s="388">
        <f t="shared" si="21"/>
        <v>81182.412000000011</v>
      </c>
      <c r="J647" s="388">
        <f t="shared" si="21"/>
        <v>82806.060240000006</v>
      </c>
      <c r="K647" s="388">
        <f t="shared" si="21"/>
        <v>84462.181444800008</v>
      </c>
      <c r="L647" s="388">
        <f t="shared" si="21"/>
        <v>86151.425073696009</v>
      </c>
      <c r="M647" s="388">
        <f t="shared" si="21"/>
        <v>87874.45357516993</v>
      </c>
      <c r="N647" s="388">
        <f t="shared" si="21"/>
        <v>89631.942646673328</v>
      </c>
      <c r="O647" s="271"/>
    </row>
    <row r="648" spans="1:15" ht="15" x14ac:dyDescent="0.2">
      <c r="A648" s="271"/>
      <c r="B648" s="74"/>
      <c r="C648" s="387" t="s">
        <v>3</v>
      </c>
      <c r="D648" s="271"/>
      <c r="E648" s="388">
        <v>0</v>
      </c>
      <c r="F648" s="388">
        <f t="shared" ref="F648:N648" si="22">E648*(1+$E$642)</f>
        <v>0</v>
      </c>
      <c r="G648" s="388">
        <f t="shared" si="22"/>
        <v>0</v>
      </c>
      <c r="H648" s="388">
        <f t="shared" si="22"/>
        <v>0</v>
      </c>
      <c r="I648" s="388">
        <f t="shared" si="22"/>
        <v>0</v>
      </c>
      <c r="J648" s="388">
        <f t="shared" si="22"/>
        <v>0</v>
      </c>
      <c r="K648" s="388">
        <f t="shared" si="22"/>
        <v>0</v>
      </c>
      <c r="L648" s="388">
        <f t="shared" si="22"/>
        <v>0</v>
      </c>
      <c r="M648" s="388">
        <f t="shared" si="22"/>
        <v>0</v>
      </c>
      <c r="N648" s="388">
        <f t="shared" si="22"/>
        <v>0</v>
      </c>
      <c r="O648" s="271"/>
    </row>
    <row r="649" spans="1:15" ht="15" x14ac:dyDescent="0.2">
      <c r="A649" s="271"/>
      <c r="B649" s="74"/>
      <c r="C649" s="387" t="s">
        <v>476</v>
      </c>
      <c r="D649" s="271"/>
      <c r="E649" s="388">
        <v>0</v>
      </c>
      <c r="F649" s="388">
        <f t="shared" ref="F649:N649" si="23">E649*(1+$E$642)</f>
        <v>0</v>
      </c>
      <c r="G649" s="388">
        <f t="shared" si="23"/>
        <v>0</v>
      </c>
      <c r="H649" s="388">
        <f t="shared" si="23"/>
        <v>0</v>
      </c>
      <c r="I649" s="388">
        <f t="shared" si="23"/>
        <v>0</v>
      </c>
      <c r="J649" s="388">
        <f t="shared" si="23"/>
        <v>0</v>
      </c>
      <c r="K649" s="388">
        <f t="shared" si="23"/>
        <v>0</v>
      </c>
      <c r="L649" s="388">
        <f t="shared" si="23"/>
        <v>0</v>
      </c>
      <c r="M649" s="388">
        <f t="shared" si="23"/>
        <v>0</v>
      </c>
      <c r="N649" s="388">
        <f t="shared" si="23"/>
        <v>0</v>
      </c>
      <c r="O649" s="271"/>
    </row>
    <row r="650" spans="1:15" ht="15" x14ac:dyDescent="0.2">
      <c r="A650" s="271"/>
      <c r="B650" s="74"/>
      <c r="C650" s="387" t="s">
        <v>4</v>
      </c>
      <c r="D650" s="271"/>
      <c r="E650" s="388">
        <v>90000</v>
      </c>
      <c r="F650" s="388">
        <f t="shared" ref="F650:N650" si="24">E650*(1+$E$642)</f>
        <v>91800</v>
      </c>
      <c r="G650" s="388">
        <f t="shared" si="24"/>
        <v>93636</v>
      </c>
      <c r="H650" s="388">
        <f t="shared" si="24"/>
        <v>95508.72</v>
      </c>
      <c r="I650" s="388">
        <f t="shared" si="24"/>
        <v>97418.894400000005</v>
      </c>
      <c r="J650" s="388">
        <f t="shared" si="24"/>
        <v>99367.272288000007</v>
      </c>
      <c r="K650" s="388">
        <f t="shared" si="24"/>
        <v>101354.61773376001</v>
      </c>
      <c r="L650" s="388">
        <f t="shared" si="24"/>
        <v>103381.71008843521</v>
      </c>
      <c r="M650" s="388">
        <f t="shared" si="24"/>
        <v>105449.34429020392</v>
      </c>
      <c r="N650" s="388">
        <f t="shared" si="24"/>
        <v>107558.33117600801</v>
      </c>
      <c r="O650" s="271"/>
    </row>
    <row r="651" spans="1:15" ht="15" x14ac:dyDescent="0.2">
      <c r="A651" s="271"/>
      <c r="B651" s="74"/>
      <c r="C651" s="387" t="s">
        <v>516</v>
      </c>
      <c r="D651" s="271"/>
      <c r="E651" s="388">
        <v>80000</v>
      </c>
      <c r="F651" s="388">
        <f t="shared" ref="F651:N651" si="25">E651*(1+$E$642)</f>
        <v>81600</v>
      </c>
      <c r="G651" s="388">
        <f t="shared" si="25"/>
        <v>83232</v>
      </c>
      <c r="H651" s="388">
        <f t="shared" si="25"/>
        <v>84896.639999999999</v>
      </c>
      <c r="I651" s="388">
        <f t="shared" si="25"/>
        <v>86594.572799999994</v>
      </c>
      <c r="J651" s="388">
        <f t="shared" si="25"/>
        <v>88326.464255999992</v>
      </c>
      <c r="K651" s="388">
        <f t="shared" si="25"/>
        <v>90092.993541119999</v>
      </c>
      <c r="L651" s="388">
        <f t="shared" si="25"/>
        <v>91894.8534119424</v>
      </c>
      <c r="M651" s="388">
        <f t="shared" si="25"/>
        <v>93732.750480181247</v>
      </c>
      <c r="N651" s="388">
        <f t="shared" si="25"/>
        <v>95607.405489784869</v>
      </c>
      <c r="O651" s="271"/>
    </row>
    <row r="652" spans="1:15" ht="15" x14ac:dyDescent="0.2">
      <c r="A652" s="271"/>
      <c r="B652" s="74"/>
      <c r="C652" s="387" t="s">
        <v>517</v>
      </c>
      <c r="D652" s="271"/>
      <c r="E652" s="388">
        <v>60000</v>
      </c>
      <c r="F652" s="388">
        <f t="shared" ref="F652:N652" si="26">E652*(1+$E$642)</f>
        <v>61200</v>
      </c>
      <c r="G652" s="388">
        <f t="shared" si="26"/>
        <v>62424</v>
      </c>
      <c r="H652" s="388">
        <f t="shared" si="26"/>
        <v>63672.480000000003</v>
      </c>
      <c r="I652" s="388">
        <f t="shared" si="26"/>
        <v>64945.929600000003</v>
      </c>
      <c r="J652" s="388">
        <f t="shared" si="26"/>
        <v>66244.848192000005</v>
      </c>
      <c r="K652" s="388">
        <f t="shared" si="26"/>
        <v>67569.745155840006</v>
      </c>
      <c r="L652" s="388">
        <f t="shared" si="26"/>
        <v>68921.140058956807</v>
      </c>
      <c r="M652" s="388">
        <f t="shared" si="26"/>
        <v>70299.562860135949</v>
      </c>
      <c r="N652" s="388">
        <f t="shared" si="26"/>
        <v>71705.554117338674</v>
      </c>
      <c r="O652" s="271"/>
    </row>
    <row r="653" spans="1:15" ht="15" x14ac:dyDescent="0.2">
      <c r="A653" s="271"/>
      <c r="B653" s="74"/>
      <c r="C653" s="387" t="s">
        <v>521</v>
      </c>
      <c r="D653" s="271"/>
      <c r="E653" s="386">
        <f t="shared" ref="E653:N653" si="27">SUM(E645:E652)</f>
        <v>425000</v>
      </c>
      <c r="F653" s="386">
        <f t="shared" si="27"/>
        <v>433500</v>
      </c>
      <c r="G653" s="386">
        <f t="shared" si="27"/>
        <v>442170</v>
      </c>
      <c r="H653" s="386">
        <f t="shared" si="27"/>
        <v>451013.4</v>
      </c>
      <c r="I653" s="386">
        <f t="shared" si="27"/>
        <v>460033.66800000006</v>
      </c>
      <c r="J653" s="386">
        <f t="shared" si="27"/>
        <v>469234.34136000002</v>
      </c>
      <c r="K653" s="386">
        <f t="shared" si="27"/>
        <v>478619.02818720002</v>
      </c>
      <c r="L653" s="386">
        <f t="shared" si="27"/>
        <v>488191.40875094407</v>
      </c>
      <c r="M653" s="386">
        <f t="shared" si="27"/>
        <v>497955.23692596296</v>
      </c>
      <c r="N653" s="386">
        <f t="shared" si="27"/>
        <v>507914.3416644822</v>
      </c>
      <c r="O653" s="271"/>
    </row>
    <row r="654" spans="1:15" ht="15" x14ac:dyDescent="0.2">
      <c r="A654" s="271"/>
      <c r="B654" s="74"/>
      <c r="C654" s="383"/>
      <c r="D654" s="271"/>
      <c r="E654" s="358"/>
      <c r="F654" s="358"/>
      <c r="G654" s="358"/>
      <c r="H654" s="358"/>
      <c r="I654" s="358"/>
      <c r="J654" s="358"/>
      <c r="K654" s="358"/>
      <c r="L654" s="358"/>
      <c r="M654" s="358"/>
      <c r="N654" s="358"/>
      <c r="O654" s="271"/>
    </row>
    <row r="655" spans="1:15" ht="24" x14ac:dyDescent="0.2">
      <c r="A655" s="271"/>
      <c r="B655" s="74"/>
      <c r="C655" s="299" t="s">
        <v>522</v>
      </c>
      <c r="D655" s="271"/>
      <c r="E655" s="358">
        <f>'[2]Program design'!E31</f>
        <v>2016</v>
      </c>
      <c r="F655" s="358">
        <f>'[2]Program design'!F31</f>
        <v>2017</v>
      </c>
      <c r="G655" s="358">
        <f>'[2]Program design'!G31</f>
        <v>2018</v>
      </c>
      <c r="H655" s="358">
        <f>'[2]Program design'!H31</f>
        <v>2019</v>
      </c>
      <c r="I655" s="358">
        <f>'[2]Program design'!I31</f>
        <v>2020</v>
      </c>
      <c r="J655" s="358">
        <f>'[2]Program design'!J31</f>
        <v>2021</v>
      </c>
      <c r="K655" s="358">
        <f>'[2]Program design'!K31</f>
        <v>2022</v>
      </c>
      <c r="L655" s="358">
        <f>'[2]Program design'!L31</f>
        <v>2023</v>
      </c>
      <c r="M655" s="358">
        <f>'[2]Program design'!M31</f>
        <v>2024</v>
      </c>
      <c r="N655" s="358">
        <f>'[2]Program design'!N31</f>
        <v>2025</v>
      </c>
      <c r="O655" s="271"/>
    </row>
    <row r="656" spans="1:15" ht="15" x14ac:dyDescent="0.2">
      <c r="A656" s="271"/>
      <c r="B656" s="74"/>
      <c r="C656" s="387" t="s">
        <v>0</v>
      </c>
      <c r="D656" s="271"/>
      <c r="E656" s="388">
        <v>200000</v>
      </c>
      <c r="F656" s="388">
        <f t="shared" ref="F656:N656" si="28">E656*(1+$E$642)</f>
        <v>204000</v>
      </c>
      <c r="G656" s="388">
        <f t="shared" si="28"/>
        <v>208080</v>
      </c>
      <c r="H656" s="388">
        <f t="shared" si="28"/>
        <v>212241.6</v>
      </c>
      <c r="I656" s="388">
        <f t="shared" si="28"/>
        <v>216486.432</v>
      </c>
      <c r="J656" s="388">
        <f t="shared" si="28"/>
        <v>220816.16064000002</v>
      </c>
      <c r="K656" s="388">
        <f t="shared" si="28"/>
        <v>225232.48385280001</v>
      </c>
      <c r="L656" s="388">
        <f t="shared" si="28"/>
        <v>229737.13352985602</v>
      </c>
      <c r="M656" s="388">
        <f t="shared" si="28"/>
        <v>234331.87620045315</v>
      </c>
      <c r="N656" s="388">
        <f t="shared" si="28"/>
        <v>239018.51372446222</v>
      </c>
      <c r="O656" s="271"/>
    </row>
    <row r="657" spans="1:15" ht="15" x14ac:dyDescent="0.2">
      <c r="A657" s="271"/>
      <c r="B657" s="74"/>
      <c r="C657" s="387" t="s">
        <v>1</v>
      </c>
      <c r="D657" s="271"/>
      <c r="E657" s="388">
        <v>0</v>
      </c>
      <c r="F657" s="388">
        <f t="shared" ref="F657:N657" si="29">E657*(1+$E$642)</f>
        <v>0</v>
      </c>
      <c r="G657" s="388">
        <f t="shared" si="29"/>
        <v>0</v>
      </c>
      <c r="H657" s="388">
        <f t="shared" si="29"/>
        <v>0</v>
      </c>
      <c r="I657" s="388">
        <f t="shared" si="29"/>
        <v>0</v>
      </c>
      <c r="J657" s="388">
        <f t="shared" si="29"/>
        <v>0</v>
      </c>
      <c r="K657" s="388">
        <f t="shared" si="29"/>
        <v>0</v>
      </c>
      <c r="L657" s="388">
        <f t="shared" si="29"/>
        <v>0</v>
      </c>
      <c r="M657" s="388">
        <f t="shared" si="29"/>
        <v>0</v>
      </c>
      <c r="N657" s="388">
        <f t="shared" si="29"/>
        <v>0</v>
      </c>
      <c r="O657" s="271"/>
    </row>
    <row r="658" spans="1:15" ht="15" x14ac:dyDescent="0.2">
      <c r="A658" s="271"/>
      <c r="B658" s="74"/>
      <c r="C658" s="387" t="s">
        <v>2</v>
      </c>
      <c r="D658" s="271"/>
      <c r="E658" s="388">
        <v>160000</v>
      </c>
      <c r="F658" s="388">
        <f t="shared" ref="F658:N658" si="30">E658*(1+$E$642)</f>
        <v>163200</v>
      </c>
      <c r="G658" s="388">
        <f t="shared" si="30"/>
        <v>166464</v>
      </c>
      <c r="H658" s="388">
        <f t="shared" si="30"/>
        <v>169793.28</v>
      </c>
      <c r="I658" s="388">
        <f t="shared" si="30"/>
        <v>173189.14559999999</v>
      </c>
      <c r="J658" s="388">
        <f t="shared" si="30"/>
        <v>176652.92851199998</v>
      </c>
      <c r="K658" s="388">
        <f t="shared" si="30"/>
        <v>180185.98708224</v>
      </c>
      <c r="L658" s="388">
        <f t="shared" si="30"/>
        <v>183789.7068238848</v>
      </c>
      <c r="M658" s="388">
        <f t="shared" si="30"/>
        <v>187465.50096036249</v>
      </c>
      <c r="N658" s="388">
        <f t="shared" si="30"/>
        <v>191214.81097956974</v>
      </c>
      <c r="O658" s="271"/>
    </row>
    <row r="659" spans="1:15" ht="15" x14ac:dyDescent="0.2">
      <c r="A659" s="271"/>
      <c r="B659" s="74"/>
      <c r="C659" s="387" t="s">
        <v>3</v>
      </c>
      <c r="D659" s="271"/>
      <c r="E659" s="388">
        <v>0</v>
      </c>
      <c r="F659" s="388">
        <f t="shared" ref="F659:N659" si="31">E659*(1+$E$642)</f>
        <v>0</v>
      </c>
      <c r="G659" s="388">
        <f t="shared" si="31"/>
        <v>0</v>
      </c>
      <c r="H659" s="388">
        <f t="shared" si="31"/>
        <v>0</v>
      </c>
      <c r="I659" s="388">
        <f t="shared" si="31"/>
        <v>0</v>
      </c>
      <c r="J659" s="388">
        <f t="shared" si="31"/>
        <v>0</v>
      </c>
      <c r="K659" s="388">
        <f t="shared" si="31"/>
        <v>0</v>
      </c>
      <c r="L659" s="388">
        <f t="shared" si="31"/>
        <v>0</v>
      </c>
      <c r="M659" s="388">
        <f t="shared" si="31"/>
        <v>0</v>
      </c>
      <c r="N659" s="388">
        <f t="shared" si="31"/>
        <v>0</v>
      </c>
      <c r="O659" s="271"/>
    </row>
    <row r="660" spans="1:15" ht="15" x14ac:dyDescent="0.2">
      <c r="A660" s="271"/>
      <c r="B660" s="74"/>
      <c r="C660" s="387" t="s">
        <v>476</v>
      </c>
      <c r="D660" s="271"/>
      <c r="E660" s="388">
        <v>0</v>
      </c>
      <c r="F660" s="388">
        <f t="shared" ref="F660:N660" si="32">E660*(1+$E$642)</f>
        <v>0</v>
      </c>
      <c r="G660" s="388">
        <f t="shared" si="32"/>
        <v>0</v>
      </c>
      <c r="H660" s="388">
        <f t="shared" si="32"/>
        <v>0</v>
      </c>
      <c r="I660" s="388">
        <f t="shared" si="32"/>
        <v>0</v>
      </c>
      <c r="J660" s="388">
        <f t="shared" si="32"/>
        <v>0</v>
      </c>
      <c r="K660" s="388">
        <f t="shared" si="32"/>
        <v>0</v>
      </c>
      <c r="L660" s="388">
        <f t="shared" si="32"/>
        <v>0</v>
      </c>
      <c r="M660" s="388">
        <f t="shared" si="32"/>
        <v>0</v>
      </c>
      <c r="N660" s="388">
        <f t="shared" si="32"/>
        <v>0</v>
      </c>
      <c r="O660" s="271"/>
    </row>
    <row r="661" spans="1:15" ht="15" x14ac:dyDescent="0.2">
      <c r="A661" s="271"/>
      <c r="B661" s="74"/>
      <c r="C661" s="387" t="s">
        <v>4</v>
      </c>
      <c r="D661" s="271"/>
      <c r="E661" s="388">
        <v>240000</v>
      </c>
      <c r="F661" s="388">
        <f t="shared" ref="F661:N661" si="33">E661*(1+$E$642)</f>
        <v>244800</v>
      </c>
      <c r="G661" s="388">
        <f t="shared" si="33"/>
        <v>249696</v>
      </c>
      <c r="H661" s="388">
        <f t="shared" si="33"/>
        <v>254689.92000000001</v>
      </c>
      <c r="I661" s="388">
        <f t="shared" si="33"/>
        <v>259783.71840000001</v>
      </c>
      <c r="J661" s="388">
        <f t="shared" si="33"/>
        <v>264979.39276800002</v>
      </c>
      <c r="K661" s="388">
        <f t="shared" si="33"/>
        <v>270278.98062336002</v>
      </c>
      <c r="L661" s="388">
        <f t="shared" si="33"/>
        <v>275684.56023582723</v>
      </c>
      <c r="M661" s="388">
        <f t="shared" si="33"/>
        <v>281198.2514405438</v>
      </c>
      <c r="N661" s="388">
        <f t="shared" si="33"/>
        <v>286822.21646935469</v>
      </c>
      <c r="O661" s="271"/>
    </row>
    <row r="662" spans="1:15" ht="15" x14ac:dyDescent="0.2">
      <c r="A662" s="271"/>
      <c r="B662" s="74"/>
      <c r="C662" s="387" t="s">
        <v>516</v>
      </c>
      <c r="D662" s="271"/>
      <c r="E662" s="388">
        <v>0</v>
      </c>
      <c r="F662" s="388">
        <f t="shared" ref="F662:N662" si="34">E662*(1+$E$642)</f>
        <v>0</v>
      </c>
      <c r="G662" s="388">
        <f t="shared" si="34"/>
        <v>0</v>
      </c>
      <c r="H662" s="388">
        <f t="shared" si="34"/>
        <v>0</v>
      </c>
      <c r="I662" s="388">
        <f t="shared" si="34"/>
        <v>0</v>
      </c>
      <c r="J662" s="388">
        <f t="shared" si="34"/>
        <v>0</v>
      </c>
      <c r="K662" s="388">
        <f t="shared" si="34"/>
        <v>0</v>
      </c>
      <c r="L662" s="388">
        <f t="shared" si="34"/>
        <v>0</v>
      </c>
      <c r="M662" s="388">
        <f t="shared" si="34"/>
        <v>0</v>
      </c>
      <c r="N662" s="388">
        <f t="shared" si="34"/>
        <v>0</v>
      </c>
      <c r="O662" s="271"/>
    </row>
    <row r="663" spans="1:15" ht="15" x14ac:dyDescent="0.2">
      <c r="A663" s="271"/>
      <c r="B663" s="74"/>
      <c r="C663" s="387" t="s">
        <v>517</v>
      </c>
      <c r="D663" s="271"/>
      <c r="E663" s="388">
        <v>100000</v>
      </c>
      <c r="F663" s="388">
        <f t="shared" ref="F663:N663" si="35">E663*(1+$E$642)</f>
        <v>102000</v>
      </c>
      <c r="G663" s="388">
        <f t="shared" si="35"/>
        <v>104040</v>
      </c>
      <c r="H663" s="388">
        <f t="shared" si="35"/>
        <v>106120.8</v>
      </c>
      <c r="I663" s="388">
        <f t="shared" si="35"/>
        <v>108243.216</v>
      </c>
      <c r="J663" s="388">
        <f t="shared" si="35"/>
        <v>110408.08032000001</v>
      </c>
      <c r="K663" s="388">
        <f t="shared" si="35"/>
        <v>112616.24192640001</v>
      </c>
      <c r="L663" s="388">
        <f t="shared" si="35"/>
        <v>114868.56676492801</v>
      </c>
      <c r="M663" s="388">
        <f t="shared" si="35"/>
        <v>117165.93810022657</v>
      </c>
      <c r="N663" s="388">
        <f t="shared" si="35"/>
        <v>119509.25686223111</v>
      </c>
      <c r="O663" s="271"/>
    </row>
    <row r="664" spans="1:15" ht="15" x14ac:dyDescent="0.2">
      <c r="A664" s="271"/>
      <c r="B664" s="74"/>
      <c r="C664" s="387" t="s">
        <v>523</v>
      </c>
      <c r="D664" s="271"/>
      <c r="E664" s="386">
        <f t="shared" ref="E664:N664" si="36">SUM(E656:E663)</f>
        <v>700000</v>
      </c>
      <c r="F664" s="386">
        <f t="shared" si="36"/>
        <v>714000</v>
      </c>
      <c r="G664" s="386">
        <f t="shared" si="36"/>
        <v>728280</v>
      </c>
      <c r="H664" s="386">
        <f t="shared" si="36"/>
        <v>742845.60000000009</v>
      </c>
      <c r="I664" s="386">
        <f t="shared" si="36"/>
        <v>757702.51199999999</v>
      </c>
      <c r="J664" s="386">
        <f t="shared" si="36"/>
        <v>772856.56224000012</v>
      </c>
      <c r="K664" s="386">
        <f t="shared" si="36"/>
        <v>788313.69348480005</v>
      </c>
      <c r="L664" s="386">
        <f t="shared" si="36"/>
        <v>804079.96735449613</v>
      </c>
      <c r="M664" s="386">
        <f t="shared" si="36"/>
        <v>820161.56670158601</v>
      </c>
      <c r="N664" s="386">
        <f t="shared" si="36"/>
        <v>836564.79803561768</v>
      </c>
      <c r="O664" s="271"/>
    </row>
    <row r="665" spans="1:15" ht="15" x14ac:dyDescent="0.2">
      <c r="A665" s="224"/>
      <c r="B665" s="42"/>
      <c r="C665" s="383"/>
      <c r="D665" s="271"/>
      <c r="E665" s="358"/>
      <c r="F665" s="358"/>
      <c r="G665" s="358"/>
      <c r="H665" s="358"/>
      <c r="I665" s="358"/>
      <c r="J665" s="358"/>
      <c r="K665" s="358"/>
      <c r="L665" s="358"/>
      <c r="M665" s="358"/>
      <c r="N665" s="358"/>
      <c r="O665" s="271"/>
    </row>
    <row r="666" spans="1:15" ht="15" x14ac:dyDescent="0.2">
      <c r="A666" s="224"/>
      <c r="B666" s="42"/>
      <c r="C666" s="383"/>
      <c r="D666" s="271"/>
      <c r="E666" s="385">
        <f>'[2]Program design'!E31</f>
        <v>2016</v>
      </c>
      <c r="F666" s="385">
        <f>'[2]Program design'!F31</f>
        <v>2017</v>
      </c>
      <c r="G666" s="385">
        <f>'[2]Program design'!G31</f>
        <v>2018</v>
      </c>
      <c r="H666" s="385">
        <f>'[2]Program design'!H31</f>
        <v>2019</v>
      </c>
      <c r="I666" s="385">
        <f>'[2]Program design'!I31</f>
        <v>2020</v>
      </c>
      <c r="J666" s="385">
        <f>'[2]Program design'!J31</f>
        <v>2021</v>
      </c>
      <c r="K666" s="385">
        <f>'[2]Program design'!K31</f>
        <v>2022</v>
      </c>
      <c r="L666" s="385">
        <f>'[2]Program design'!L31</f>
        <v>2023</v>
      </c>
      <c r="M666" s="385">
        <f>'[2]Program design'!M31</f>
        <v>2024</v>
      </c>
      <c r="N666" s="385">
        <f>'[2]Program design'!N31</f>
        <v>2025</v>
      </c>
      <c r="O666" s="271"/>
    </row>
    <row r="667" spans="1:15" ht="24" x14ac:dyDescent="0.2">
      <c r="A667" s="224"/>
      <c r="B667" s="42"/>
      <c r="C667" s="324" t="s">
        <v>524</v>
      </c>
      <c r="D667" s="271"/>
      <c r="E667" s="384">
        <f t="shared" ref="E667:N667" si="37">E653+E664</f>
        <v>1125000</v>
      </c>
      <c r="F667" s="384">
        <f t="shared" si="37"/>
        <v>1147500</v>
      </c>
      <c r="G667" s="384">
        <f t="shared" si="37"/>
        <v>1170450</v>
      </c>
      <c r="H667" s="384">
        <f t="shared" si="37"/>
        <v>1193859</v>
      </c>
      <c r="I667" s="384">
        <f t="shared" si="37"/>
        <v>1217736.1800000002</v>
      </c>
      <c r="J667" s="384">
        <f t="shared" si="37"/>
        <v>1242090.9036000001</v>
      </c>
      <c r="K667" s="384">
        <f t="shared" si="37"/>
        <v>1266932.7216720001</v>
      </c>
      <c r="L667" s="384">
        <f t="shared" si="37"/>
        <v>1292271.3761054403</v>
      </c>
      <c r="M667" s="384">
        <f t="shared" si="37"/>
        <v>1318116.803627549</v>
      </c>
      <c r="N667" s="384">
        <f t="shared" si="37"/>
        <v>1344479.1397000998</v>
      </c>
      <c r="O667" s="271"/>
    </row>
    <row r="668" spans="1:15" ht="15" x14ac:dyDescent="0.2">
      <c r="A668" s="224"/>
      <c r="B668" s="42"/>
      <c r="C668" s="383"/>
      <c r="D668" s="271"/>
      <c r="E668" s="358"/>
      <c r="F668" s="358"/>
      <c r="G668" s="358"/>
      <c r="H668" s="358"/>
      <c r="I668" s="358"/>
      <c r="J668" s="358"/>
      <c r="K668" s="358"/>
      <c r="L668" s="358"/>
      <c r="M668" s="358"/>
      <c r="N668" s="358"/>
      <c r="O668" s="271"/>
    </row>
    <row r="669" spans="1:15" ht="15" x14ac:dyDescent="0.2">
      <c r="A669" s="224"/>
      <c r="B669" s="42"/>
      <c r="C669" s="383"/>
      <c r="D669" s="271"/>
      <c r="E669" s="382">
        <f>'[2]Program design'!E31</f>
        <v>2016</v>
      </c>
      <c r="F669" s="382">
        <f>'[2]Program design'!F31</f>
        <v>2017</v>
      </c>
      <c r="G669" s="382">
        <f>'[2]Program design'!G31</f>
        <v>2018</v>
      </c>
      <c r="H669" s="382">
        <f>'[2]Program design'!H31</f>
        <v>2019</v>
      </c>
      <c r="I669" s="382">
        <f>'[2]Program design'!I31</f>
        <v>2020</v>
      </c>
      <c r="J669" s="382">
        <f>'[2]Program design'!J31</f>
        <v>2021</v>
      </c>
      <c r="K669" s="382">
        <f>'[2]Program design'!K31</f>
        <v>2022</v>
      </c>
      <c r="L669" s="382">
        <f>'[2]Program design'!L31</f>
        <v>2023</v>
      </c>
      <c r="M669" s="382">
        <f>'[2]Program design'!M31</f>
        <v>2024</v>
      </c>
      <c r="N669" s="382">
        <f>'[2]Program design'!N31</f>
        <v>2025</v>
      </c>
      <c r="O669" s="271"/>
    </row>
    <row r="670" spans="1:15" ht="15" x14ac:dyDescent="0.2">
      <c r="C670" s="224" t="s">
        <v>525</v>
      </c>
      <c r="D670" s="224"/>
      <c r="E670" s="381" t="str">
        <f>IF('M2'!D724=0,"No agency loans",E667/'M2'!D724)</f>
        <v>No agency loans</v>
      </c>
      <c r="F670" s="381" t="str">
        <f>IF('M2'!E724=0,"No agency loans",F667/'M2'!E724)</f>
        <v>No agency loans</v>
      </c>
      <c r="G670" s="381" t="str">
        <f>IF('M2'!F724=0,"No agency loans",G667/'M2'!F724)</f>
        <v>No agency loans</v>
      </c>
      <c r="H670" s="381" t="str">
        <f>IF('M2'!G724=0,"No agency loans",H667/'M2'!G724)</f>
        <v>No agency loans</v>
      </c>
      <c r="I670" s="381" t="str">
        <f>IF('M2'!H724=0,"No agency loans",I667/'M2'!H724)</f>
        <v>No agency loans</v>
      </c>
      <c r="J670" s="381" t="str">
        <f>IF('M2'!I724=0,"No agency loans",J667/'M2'!I724)</f>
        <v>No agency loans</v>
      </c>
      <c r="K670" s="381" t="str">
        <f>IF('M2'!J724=0,"No agency loans",K667/'M2'!J724)</f>
        <v>No agency loans</v>
      </c>
      <c r="L670" s="381" t="str">
        <f>IF('M2'!K724=0,"No agency loans",L667/'M2'!K724)</f>
        <v>No agency loans</v>
      </c>
      <c r="M670" s="381" t="str">
        <f>IF('M2'!L724=0,"No agency loans",M667/'M2'!L724)</f>
        <v>No agency loans</v>
      </c>
      <c r="N670" s="381" t="str">
        <f>IF('M2'!M724=0,"No agency loans",N667/'M2'!M724)</f>
        <v>No agency loans</v>
      </c>
      <c r="O670" s="271"/>
    </row>
    <row r="671" spans="1:15" ht="15" x14ac:dyDescent="0.2">
      <c r="C671" s="271"/>
      <c r="D671" s="224"/>
      <c r="E671" s="380"/>
      <c r="F671" s="380"/>
      <c r="G671" s="380"/>
      <c r="H671" s="380"/>
      <c r="I671" s="380"/>
      <c r="J671" s="380"/>
      <c r="K671" s="380"/>
      <c r="L671" s="380"/>
      <c r="M671" s="380"/>
      <c r="N671" s="380"/>
      <c r="O671" s="271"/>
    </row>
    <row r="672" spans="1:15" ht="15" x14ac:dyDescent="0.2">
      <c r="C672" s="271" t="s">
        <v>526</v>
      </c>
      <c r="D672" s="271"/>
      <c r="E672" s="378" t="str">
        <f>IF(E633=0,"No FTEs",'M2'!D$689/E633)</f>
        <v>No FTEs</v>
      </c>
      <c r="F672" s="378" t="str">
        <f>IF(F633=0,"No FTEs",'M2'!E$689/F633)</f>
        <v>No FTEs</v>
      </c>
      <c r="G672" s="378" t="str">
        <f>IF(G633=0,"No FTEs",'M2'!F$689/G633)</f>
        <v>No FTEs</v>
      </c>
      <c r="H672" s="378" t="str">
        <f>IF(H633=0,"No FTEs",'M2'!G$689/H633)</f>
        <v>No FTEs</v>
      </c>
      <c r="I672" s="378" t="str">
        <f>IF(I633=0,"No FTEs",'M2'!H$689/I633)</f>
        <v>No FTEs</v>
      </c>
      <c r="J672" s="378" t="str">
        <f>IF(J633=0,"No FTEs",'M2'!I$689/J633)</f>
        <v>No FTEs</v>
      </c>
      <c r="K672" s="378" t="str">
        <f>IF(K633=0,"No FTEs",'M2'!J$689/K633)</f>
        <v>No FTEs</v>
      </c>
      <c r="L672" s="378" t="str">
        <f>IF(L633=0,"No FTEs",'M2'!K$689/L633)</f>
        <v>No FTEs</v>
      </c>
      <c r="M672" s="378" t="str">
        <f>IF(M633=0,"No FTEs",'M2'!L$689/M633)</f>
        <v>No FTEs</v>
      </c>
      <c r="N672" s="378" t="str">
        <f>IF(N633=0,"No FTEs",'M2'!M$689/N633)</f>
        <v>No FTEs</v>
      </c>
      <c r="O672" s="271"/>
    </row>
    <row r="673" spans="1:15" ht="15" x14ac:dyDescent="0.2">
      <c r="C673" s="271" t="s">
        <v>527</v>
      </c>
      <c r="D673" s="271"/>
      <c r="E673" s="378">
        <f>IF(E634=0,"No FTEs",'M2'!D$689/E634)</f>
        <v>166.66666666666666</v>
      </c>
      <c r="F673" s="378">
        <f>IF(F634=0,"No FTEs",'M2'!E$689/F634)</f>
        <v>300</v>
      </c>
      <c r="G673" s="378">
        <f>IF(G634=0,"No FTEs",'M2'!F$689/G634)</f>
        <v>500</v>
      </c>
      <c r="H673" s="378">
        <f>IF(H634=0,"No FTEs",'M2'!G$689/H634)</f>
        <v>750</v>
      </c>
      <c r="I673" s="378">
        <f>IF(I634=0,"No FTEs",'M2'!H$689/I634)</f>
        <v>1000</v>
      </c>
      <c r="J673" s="378">
        <f>IF(J634=0,"No FTEs",'M2'!I$689/J634)</f>
        <v>1000</v>
      </c>
      <c r="K673" s="378">
        <f>IF(K634=0,"No FTEs",'M2'!J$689/K634)</f>
        <v>1050</v>
      </c>
      <c r="L673" s="378">
        <f>IF(L634=0,"No FTEs",'M2'!K$689/L634)</f>
        <v>800</v>
      </c>
      <c r="M673" s="378">
        <f>IF(M634=0,"No FTEs",'M2'!L$689/M634)</f>
        <v>750</v>
      </c>
      <c r="N673" s="378">
        <f>IF(N634=0,"No FTEs",'M2'!M$689/N634)</f>
        <v>950</v>
      </c>
      <c r="O673" s="271"/>
    </row>
    <row r="674" spans="1:15" ht="15" x14ac:dyDescent="0.2">
      <c r="C674" s="271" t="s">
        <v>528</v>
      </c>
      <c r="D674" s="224"/>
      <c r="E674" s="378" t="str">
        <f>IF(E635=0,"No FTEs",'M2'!D$689/E635)</f>
        <v>No FTEs</v>
      </c>
      <c r="F674" s="378" t="str">
        <f>IF(F635=0,"No FTEs",'M2'!E$689/F635)</f>
        <v>No FTEs</v>
      </c>
      <c r="G674" s="378" t="str">
        <f>IF(G635=0,"No FTEs",'M2'!F$689/G635)</f>
        <v>No FTEs</v>
      </c>
      <c r="H674" s="378" t="str">
        <f>IF(H635=0,"No FTEs",'M2'!G$689/H635)</f>
        <v>No FTEs</v>
      </c>
      <c r="I674" s="378" t="str">
        <f>IF(I635=0,"No FTEs",'M2'!H$689/I635)</f>
        <v>No FTEs</v>
      </c>
      <c r="J674" s="378" t="str">
        <f>IF(J635=0,"No FTEs",'M2'!I$689/J635)</f>
        <v>No FTEs</v>
      </c>
      <c r="K674" s="378" t="str">
        <f>IF(K635=0,"No FTEs",'M2'!J$689/K635)</f>
        <v>No FTEs</v>
      </c>
      <c r="L674" s="378" t="str">
        <f>IF(L635=0,"No FTEs",'M2'!K$689/L635)</f>
        <v>No FTEs</v>
      </c>
      <c r="M674" s="378" t="str">
        <f>IF(M635=0,"No FTEs",'M2'!L$689/M635)</f>
        <v>No FTEs</v>
      </c>
      <c r="N674" s="378" t="str">
        <f>IF(N635=0,"No FTEs",'M2'!M$689/N635)</f>
        <v>No FTEs</v>
      </c>
      <c r="O674" s="224"/>
    </row>
    <row r="675" spans="1:15" ht="15" x14ac:dyDescent="0.2">
      <c r="C675" s="224"/>
      <c r="D675" s="224"/>
      <c r="E675" s="380"/>
      <c r="F675" s="380"/>
      <c r="G675" s="380"/>
      <c r="H675" s="380"/>
      <c r="I675" s="380"/>
      <c r="J675" s="380"/>
      <c r="K675" s="380"/>
      <c r="L675" s="380"/>
      <c r="M675" s="380"/>
      <c r="N675" s="380"/>
      <c r="O675" s="224"/>
    </row>
    <row r="676" spans="1:15" ht="15" x14ac:dyDescent="0.2">
      <c r="C676" s="224" t="s">
        <v>529</v>
      </c>
      <c r="D676" s="224"/>
      <c r="E676" s="379" t="str">
        <f>IF(E636=0,"No FTEs",'M2'!D692/E636)</f>
        <v>No FTEs</v>
      </c>
      <c r="F676" s="379" t="str">
        <f>IF(F636=0,"No FTEs",'M2'!E692/F636)</f>
        <v>No FTEs</v>
      </c>
      <c r="G676" s="379" t="str">
        <f>IF(G636=0,"No FTEs",'M2'!F692/G636)</f>
        <v>No FTEs</v>
      </c>
      <c r="H676" s="379" t="str">
        <f>IF(H636=0,"No FTEs",'M2'!G692/H636)</f>
        <v>No FTEs</v>
      </c>
      <c r="I676" s="379" t="str">
        <f>IF(I636=0,"No FTEs",'M2'!H692/I636)</f>
        <v>No FTEs</v>
      </c>
      <c r="J676" s="379" t="str">
        <f>IF(J636=0,"No FTEs",'M2'!I692/J636)</f>
        <v>No FTEs</v>
      </c>
      <c r="K676" s="379" t="str">
        <f>IF(K636=0,"No FTEs",'M2'!J692/K636)</f>
        <v>No FTEs</v>
      </c>
      <c r="L676" s="379" t="str">
        <f>IF(L636=0,"No FTEs",'M2'!K692/L636)</f>
        <v>No FTEs</v>
      </c>
      <c r="M676" s="379" t="str">
        <f>IF(M636=0,"No FTEs",'M2'!L692/M636)</f>
        <v>No FTEs</v>
      </c>
      <c r="N676" s="379" t="str">
        <f>IF(N636=0,"No FTEs",'M2'!M692/N636)</f>
        <v>No FTEs</v>
      </c>
      <c r="O676" s="224"/>
    </row>
    <row r="677" spans="1:15" ht="15" x14ac:dyDescent="0.2">
      <c r="C677" s="224" t="s">
        <v>530</v>
      </c>
      <c r="D677" s="224"/>
      <c r="E677" s="378">
        <f>IF('M2'!D692=0,"No loans",(E649+E660)/'M2'!D692)</f>
        <v>0</v>
      </c>
      <c r="F677" s="378">
        <f>IF('M2'!E692=0,"No loans",(F649+F660)/'M2'!E692)</f>
        <v>0</v>
      </c>
      <c r="G677" s="378">
        <f>IF('M2'!F692=0,"No loans",(G649+G660)/'M2'!F692)</f>
        <v>0</v>
      </c>
      <c r="H677" s="378">
        <f>IF('M2'!G692=0,"No loans",(H649+H660)/'M2'!G692)</f>
        <v>0</v>
      </c>
      <c r="I677" s="378">
        <f>IF('M2'!H692=0,"No loans",(I649+I660)/'M2'!H692)</f>
        <v>0</v>
      </c>
      <c r="J677" s="378">
        <f>IF('M2'!I692=0,"No loans",(J649+J660)/'M2'!I692)</f>
        <v>0</v>
      </c>
      <c r="K677" s="378">
        <f>IF('M2'!J692=0,"No loans",(K649+K660)/'M2'!J692)</f>
        <v>0</v>
      </c>
      <c r="L677" s="378">
        <f>IF('M2'!K692=0,"No loans",(L649+L660)/'M2'!K692)</f>
        <v>0</v>
      </c>
      <c r="M677" s="378">
        <f>IF('M2'!L692=0,"No loans",(M649+M660)/'M2'!L692)</f>
        <v>0</v>
      </c>
      <c r="N677" s="378">
        <f>IF('M2'!M692=0,"No loans",(N649+N660)/'M2'!M692)</f>
        <v>0</v>
      </c>
      <c r="O677" s="224"/>
    </row>
    <row r="678" spans="1:15" ht="15" x14ac:dyDescent="0.2">
      <c r="C678" s="224" t="s">
        <v>531</v>
      </c>
      <c r="D678" s="224"/>
      <c r="E678" s="377">
        <f>IF('M2'!D692=0,"No loans",E677/12)</f>
        <v>0</v>
      </c>
      <c r="F678" s="377">
        <f>IF('M2'!E692=0,"No loans",F677/12)</f>
        <v>0</v>
      </c>
      <c r="G678" s="377">
        <f>IF('M2'!F692=0,"No loans",G677/12)</f>
        <v>0</v>
      </c>
      <c r="H678" s="377">
        <f>IF('M2'!G692=0,"No loans",H677/12)</f>
        <v>0</v>
      </c>
      <c r="I678" s="377">
        <f>IF('M2'!H692=0,"No loans",I677/12)</f>
        <v>0</v>
      </c>
      <c r="J678" s="377">
        <f>IF('M2'!I692=0,"No loans",J677/12)</f>
        <v>0</v>
      </c>
      <c r="K678" s="377">
        <f>IF('M2'!J692=0,"No loans",K677/12)</f>
        <v>0</v>
      </c>
      <c r="L678" s="377">
        <f>IF('M2'!K692=0,"No loans",L677/12)</f>
        <v>0</v>
      </c>
      <c r="M678" s="377">
        <f>IF('M2'!L692=0,"No loans",M677/12)</f>
        <v>0</v>
      </c>
      <c r="N678" s="377">
        <f>IF('M2'!M692=0,"No loans",N677/12)</f>
        <v>0</v>
      </c>
      <c r="O678" s="224"/>
    </row>
    <row r="682" spans="1:15" ht="12" customHeight="1" x14ac:dyDescent="0.2">
      <c r="A682" s="153"/>
      <c r="B682" s="153"/>
      <c r="C682" s="408" t="s">
        <v>532</v>
      </c>
      <c r="D682" s="408"/>
      <c r="E682" s="408"/>
      <c r="F682" s="408"/>
      <c r="G682" s="408"/>
      <c r="H682" s="408"/>
      <c r="I682" s="408"/>
      <c r="J682" s="408"/>
      <c r="K682" s="408"/>
      <c r="L682" s="408"/>
      <c r="M682" s="408"/>
      <c r="N682" s="408"/>
      <c r="O682" s="408"/>
    </row>
    <row r="683" spans="1:15" ht="12" customHeight="1" x14ac:dyDescent="0.2">
      <c r="A683" s="153"/>
      <c r="B683" s="153"/>
      <c r="C683" s="408"/>
      <c r="D683" s="408"/>
      <c r="E683" s="408"/>
      <c r="F683" s="408"/>
      <c r="G683" s="408"/>
      <c r="H683" s="408"/>
      <c r="I683" s="408"/>
      <c r="J683" s="408"/>
      <c r="K683" s="408"/>
      <c r="L683" s="408"/>
      <c r="M683" s="408"/>
      <c r="N683" s="408"/>
      <c r="O683" s="408"/>
    </row>
    <row r="685" spans="1:15" ht="15" x14ac:dyDescent="0.2">
      <c r="C685" s="326" t="s">
        <v>533</v>
      </c>
      <c r="D685" s="167"/>
      <c r="E685" s="275"/>
      <c r="F685" s="275"/>
      <c r="G685" s="275"/>
      <c r="H685" s="275"/>
      <c r="I685" s="275"/>
      <c r="J685" s="275"/>
      <c r="K685" s="276"/>
      <c r="L685" s="167"/>
      <c r="M685" s="167"/>
      <c r="N685" s="167"/>
      <c r="O685" s="167"/>
    </row>
    <row r="686" spans="1:15" ht="15" x14ac:dyDescent="0.25">
      <c r="C686"/>
      <c r="D686"/>
      <c r="E686"/>
      <c r="F686"/>
      <c r="G686"/>
      <c r="H686"/>
      <c r="I686"/>
      <c r="J686"/>
      <c r="K686"/>
      <c r="L686"/>
      <c r="M686"/>
      <c r="N686"/>
      <c r="O686"/>
    </row>
    <row r="687" spans="1:15" x14ac:dyDescent="0.2">
      <c r="C687" s="300" t="s">
        <v>534</v>
      </c>
      <c r="D687" s="301">
        <f>'[2]Program design'!E31</f>
        <v>2016</v>
      </c>
      <c r="E687" s="301">
        <f>'[2]Program design'!F31</f>
        <v>2017</v>
      </c>
      <c r="F687" s="301">
        <f>'[2]Program design'!G31</f>
        <v>2018</v>
      </c>
      <c r="G687" s="301">
        <f>'[2]Program design'!H31</f>
        <v>2019</v>
      </c>
      <c r="H687" s="301">
        <f>'[2]Program design'!I31</f>
        <v>2020</v>
      </c>
      <c r="I687" s="301">
        <f>'[2]Program design'!J31</f>
        <v>2021</v>
      </c>
      <c r="J687" s="301">
        <f>'[2]Program design'!K31</f>
        <v>2022</v>
      </c>
      <c r="K687" s="301">
        <f>'[2]Program design'!L31</f>
        <v>2023</v>
      </c>
      <c r="L687" s="301">
        <f>'[2]Program design'!M31</f>
        <v>2024</v>
      </c>
      <c r="M687" s="301">
        <f>'[2]Program design'!N31</f>
        <v>2025</v>
      </c>
      <c r="O687" s="301" t="s">
        <v>535</v>
      </c>
    </row>
    <row r="688" spans="1:15" x14ac:dyDescent="0.2">
      <c r="C688" s="300" t="s">
        <v>536</v>
      </c>
      <c r="D688" s="302">
        <f>'[2]Program design'!E33</f>
        <v>125000000</v>
      </c>
      <c r="E688" s="302">
        <f>'[2]Program design'!F33</f>
        <v>375000000</v>
      </c>
      <c r="F688" s="302">
        <f>'[2]Program design'!G33</f>
        <v>1250000000</v>
      </c>
      <c r="G688" s="302">
        <f>'[2]Program design'!H33</f>
        <v>1875000000</v>
      </c>
      <c r="H688" s="302">
        <f>'[2]Program design'!I33</f>
        <v>2500000000</v>
      </c>
      <c r="I688" s="302">
        <f>'[2]Program design'!J33</f>
        <v>2500000000</v>
      </c>
      <c r="J688" s="302">
        <f>'[2]Program design'!K33</f>
        <v>2625000000</v>
      </c>
      <c r="K688" s="302">
        <f>'[2]Program design'!L33</f>
        <v>2000000000</v>
      </c>
      <c r="L688" s="302">
        <f>'[2]Program design'!M33</f>
        <v>1875000000</v>
      </c>
      <c r="M688" s="302">
        <f>'[2]Program design'!N33</f>
        <v>2375000000</v>
      </c>
      <c r="O688" s="302">
        <f>SUM(D688:M688)</f>
        <v>17500000000</v>
      </c>
    </row>
    <row r="689" spans="3:15" x14ac:dyDescent="0.2">
      <c r="C689" s="300" t="s">
        <v>537</v>
      </c>
      <c r="D689" s="300">
        <f>'[2]Program design'!E32</f>
        <v>500</v>
      </c>
      <c r="E689" s="302">
        <f>'[2]Program design'!F32</f>
        <v>1500</v>
      </c>
      <c r="F689" s="302">
        <f>'[2]Program design'!G32</f>
        <v>5000</v>
      </c>
      <c r="G689" s="302">
        <f>'[2]Program design'!H32</f>
        <v>7500</v>
      </c>
      <c r="H689" s="302">
        <f>'[2]Program design'!I32</f>
        <v>10000</v>
      </c>
      <c r="I689" s="302">
        <f>'[2]Program design'!J32</f>
        <v>10000</v>
      </c>
      <c r="J689" s="302">
        <f>'[2]Program design'!K32</f>
        <v>10500</v>
      </c>
      <c r="K689" s="302">
        <f>'[2]Program design'!L32</f>
        <v>8000</v>
      </c>
      <c r="L689" s="302">
        <f>'[2]Program design'!M32</f>
        <v>7500</v>
      </c>
      <c r="M689" s="302">
        <f>'[2]Program design'!N32</f>
        <v>9500</v>
      </c>
      <c r="O689" s="302">
        <f>SUM(D689:M689)</f>
        <v>70000</v>
      </c>
    </row>
    <row r="690" spans="3:15" x14ac:dyDescent="0.2">
      <c r="C690" s="300" t="s">
        <v>594</v>
      </c>
      <c r="D690" s="302">
        <f>'[2]Summary Portfolios'!$B$159*'[2]Level PMT calcs'!C32+'[2]Summary Portfolios'!$B$160*'[2]Balloon calcs'!C28+'[2]Summary Portfolios'!$B$161*'[2]Bullet calcs'!C28+'[2]Summary Portfolios'!$B$162*'[2]Fixed principal quarterly'!C28+'[2]Summary Portfolios'!$B$163*'[2]IO to Equal Qtrly calcs'!C28</f>
        <v>0</v>
      </c>
      <c r="E690" s="302">
        <f>'[2]Summary Portfolios'!$B$159*'[2]Level PMT calcs'!D32+'[2]Summary Portfolios'!$B$160*'[2]Balloon calcs'!D28+'[2]Summary Portfolios'!$B$161*'[2]Bullet calcs'!D28+'[2]Summary Portfolios'!$B$162*'[2]Fixed principal quarterly'!D28+'[2]Summary Portfolios'!$B$163*'[2]IO to Equal Qtrly calcs'!D28</f>
        <v>0</v>
      </c>
      <c r="F690" s="302">
        <f>'[2]Summary Portfolios'!$B$159*'[2]Level PMT calcs'!E32+'[2]Summary Portfolios'!$B$160*'[2]Balloon calcs'!E28+'[2]Summary Portfolios'!$B$161*'[2]Bullet calcs'!E28+'[2]Summary Portfolios'!$B$162*'[2]Fixed principal quarterly'!E28+'[2]Summary Portfolios'!$B$163*'[2]IO to Equal Qtrly calcs'!E28</f>
        <v>0</v>
      </c>
      <c r="G690" s="302">
        <f>'[2]Summary Portfolios'!$B$159*'[2]Level PMT calcs'!F32+'[2]Summary Portfolios'!$B$160*'[2]Balloon calcs'!F28+'[2]Summary Portfolios'!$B$161*'[2]Bullet calcs'!F28+'[2]Summary Portfolios'!$B$162*'[2]Fixed principal quarterly'!F28+'[2]Summary Portfolios'!$B$163*'[2]IO to Equal Qtrly calcs'!F28</f>
        <v>0</v>
      </c>
      <c r="H690" s="302">
        <f>'[2]Summary Portfolios'!$B$159*'[2]Level PMT calcs'!G32+'[2]Summary Portfolios'!$B$160*'[2]Balloon calcs'!G28+'[2]Summary Portfolios'!$B$161*'[2]Bullet calcs'!G28+'[2]Summary Portfolios'!$B$162*'[2]Fixed principal quarterly'!G28+'[2]Summary Portfolios'!$B$163*'[2]IO to Equal Qtrly calcs'!G28</f>
        <v>0</v>
      </c>
      <c r="I690" s="302">
        <f>'[2]Summary Portfolios'!$B$159*'[2]Level PMT calcs'!H32+'[2]Summary Portfolios'!$B$160*'[2]Balloon calcs'!H28+'[2]Summary Portfolios'!$B$161*'[2]Bullet calcs'!H28+'[2]Summary Portfolios'!$B$162*'[2]Fixed principal quarterly'!H28+'[2]Summary Portfolios'!$B$163*'[2]IO to Equal Qtrly calcs'!H28</f>
        <v>0</v>
      </c>
      <c r="J690" s="302">
        <f>'[2]Summary Portfolios'!$B$159*'[2]Level PMT calcs'!I32+'[2]Summary Portfolios'!$B$160*'[2]Balloon calcs'!I28+'[2]Summary Portfolios'!$B$161*'[2]Bullet calcs'!I28+'[2]Summary Portfolios'!$B$162*'[2]Fixed principal quarterly'!I28+'[2]Summary Portfolios'!$B$163*'[2]IO to Equal Qtrly calcs'!I28</f>
        <v>0</v>
      </c>
      <c r="K690" s="302">
        <f>'[2]Summary Portfolios'!$B$159*'[2]Level PMT calcs'!J32+'[2]Summary Portfolios'!$B$160*'[2]Balloon calcs'!J28+'[2]Summary Portfolios'!$B$161*'[2]Bullet calcs'!J28+'[2]Summary Portfolios'!$B$162*'[2]Fixed principal quarterly'!J28+'[2]Summary Portfolios'!$B$163*'[2]IO to Equal Qtrly calcs'!J28</f>
        <v>0</v>
      </c>
      <c r="L690" s="302">
        <f>'[2]Summary Portfolios'!$B$159*'[2]Level PMT calcs'!K32+'[2]Summary Portfolios'!$B$160*'[2]Balloon calcs'!K28+'[2]Summary Portfolios'!$B$161*'[2]Bullet calcs'!K28+'[2]Summary Portfolios'!$B$162*'[2]Fixed principal quarterly'!K28+'[2]Summary Portfolios'!$B$163*'[2]IO to Equal Qtrly calcs'!K28</f>
        <v>0</v>
      </c>
      <c r="M690" s="302">
        <f>'[2]Summary Portfolios'!$B$159*'[2]Level PMT calcs'!L32+'[2]Summary Portfolios'!$B$160*'[2]Balloon calcs'!L28+'[2]Summary Portfolios'!$B$161*'[2]Bullet calcs'!L28+'[2]Summary Portfolios'!$B$162*'[2]Fixed principal quarterly'!L28+'[2]Summary Portfolios'!$B$163*'[2]IO to Equal Qtrly calcs'!L28</f>
        <v>0</v>
      </c>
      <c r="O690" s="302">
        <f>SUM(D690:M690)</f>
        <v>0</v>
      </c>
    </row>
    <row r="691" spans="3:15" x14ac:dyDescent="0.2">
      <c r="C691" s="300" t="s">
        <v>538</v>
      </c>
      <c r="D691" s="303">
        <f>'M2'!D724</f>
        <v>0</v>
      </c>
      <c r="E691" s="303">
        <f>'M2'!E724</f>
        <v>0</v>
      </c>
      <c r="F691" s="303">
        <f>'M2'!F724</f>
        <v>0</v>
      </c>
      <c r="G691" s="303">
        <f>'M2'!G724</f>
        <v>0</v>
      </c>
      <c r="H691" s="303">
        <f>'M2'!H724</f>
        <v>0</v>
      </c>
      <c r="I691" s="303">
        <f>'M2'!I724</f>
        <v>0</v>
      </c>
      <c r="J691" s="303">
        <f>'M2'!J724</f>
        <v>0</v>
      </c>
      <c r="K691" s="303">
        <f>'M2'!K724</f>
        <v>0</v>
      </c>
      <c r="L691" s="303">
        <f>'M2'!L724</f>
        <v>0</v>
      </c>
      <c r="M691" s="303">
        <f>'M2'!M724</f>
        <v>0</v>
      </c>
      <c r="O691" s="14"/>
    </row>
    <row r="692" spans="3:15" x14ac:dyDescent="0.2">
      <c r="C692" s="300" t="s">
        <v>539</v>
      </c>
      <c r="D692" s="302">
        <f>'[2]Summary Portfolios'!$B$159*'[2]Level PMT calcs'!C37+'[2]Summary Portfolios'!$B$160*'[2]Balloon calcs'!C31+'[2]Summary Portfolios'!$B$161*'[2]Bullet calcs'!C31+'[2]Summary Portfolios'!$B$162*'[2]Fixed principal quarterly'!C31+'[2]Summary Portfolios'!$B$163*'[2]IO to Equal Qtrly calcs'!C31</f>
        <v>496.88280273925778</v>
      </c>
      <c r="E692" s="302">
        <f>'[2]Summary Portfolios'!$B$159*'[2]Level PMT calcs'!D37+'[2]Summary Portfolios'!$B$160*'[2]Balloon calcs'!D31+'[2]Summary Portfolios'!$B$161*'[2]Bullet calcs'!D31+'[2]Summary Portfolios'!$B$162*'[2]Fixed principal quarterly'!D31+'[2]Summary Portfolios'!$B$163*'[2]IO to Equal Qtrly calcs'!D31</f>
        <v>1971.4609802482398</v>
      </c>
      <c r="F692" s="302">
        <f>'[2]Summary Portfolios'!$B$159*'[2]Level PMT calcs'!E37+'[2]Summary Portfolios'!$B$160*'[2]Balloon calcs'!E31+'[2]Summary Portfolios'!$B$161*'[2]Bullet calcs'!E31+'[2]Summary Portfolios'!$B$162*'[2]Fixed principal quarterly'!E31+'[2]Summary Portfolios'!$B$163*'[2]IO to Equal Qtrly calcs'!E31</f>
        <v>6875.0566337530563</v>
      </c>
      <c r="G692" s="302">
        <f>'[2]Summary Portfolios'!$B$159*'[2]Level PMT calcs'!F37+'[2]Summary Portfolios'!$B$160*'[2]Balloon calcs'!F31+'[2]Summary Portfolios'!$B$161*'[2]Bullet calcs'!F31+'[2]Summary Portfolios'!$B$162*'[2]Fixed principal quarterly'!F31+'[2]Summary Portfolios'!$B$163*'[2]IO to Equal Qtrly calcs'!F31</f>
        <v>14157.077116950135</v>
      </c>
      <c r="H692" s="302">
        <f>'[2]Summary Portfolios'!$B$159*'[2]Level PMT calcs'!G37+'[2]Summary Portfolios'!$B$160*'[2]Balloon calcs'!G31+'[2]Summary Portfolios'!$B$161*'[2]Bullet calcs'!G31+'[2]Summary Portfolios'!$B$162*'[2]Fixed principal quarterly'!G31+'[2]Summary Portfolios'!$B$163*'[2]IO to Equal Qtrly calcs'!G31</f>
        <v>23604.880933919227</v>
      </c>
      <c r="I692" s="302">
        <f>'[2]Summary Portfolios'!$B$159*'[2]Level PMT calcs'!H37+'[2]Summary Portfolios'!$B$160*'[2]Balloon calcs'!H31+'[2]Summary Portfolios'!$B$161*'[2]Bullet calcs'!H31+'[2]Summary Portfolios'!$B$162*'[2]Fixed principal quarterly'!H31+'[2]Summary Portfolios'!$B$163*'[2]IO to Equal Qtrly calcs'!H31</f>
        <v>32131.714998524509</v>
      </c>
      <c r="J692" s="302">
        <f>'[2]Summary Portfolios'!$B$159*'[2]Level PMT calcs'!I37+'[2]Summary Portfolios'!$B$160*'[2]Balloon calcs'!I31+'[2]Summary Portfolios'!$B$161*'[2]Bullet calcs'!I31+'[2]Summary Portfolios'!$B$162*'[2]Fixed principal quarterly'!I31+'[2]Summary Portfolios'!$B$163*'[2]IO to Equal Qtrly calcs'!I31</f>
        <v>39373.00849021248</v>
      </c>
      <c r="K692" s="302">
        <f>'[2]Summary Portfolios'!$B$159*'[2]Level PMT calcs'!J37+'[2]Summary Portfolios'!$B$160*'[2]Balloon calcs'!J31+'[2]Summary Portfolios'!$B$161*'[2]Bullet calcs'!J31+'[2]Summary Portfolios'!$B$162*'[2]Fixed principal quarterly'!J31+'[2]Summary Portfolios'!$B$163*'[2]IO to Equal Qtrly calcs'!J31</f>
        <v>41111.161674703319</v>
      </c>
      <c r="L692" s="302">
        <f>'[2]Summary Portfolios'!$B$159*'[2]Level PMT calcs'!K37+'[2]Summary Portfolios'!$B$160*'[2]Balloon calcs'!K31+'[2]Summary Portfolios'!$B$161*'[2]Bullet calcs'!K31+'[2]Summary Portfolios'!$B$162*'[2]Fixed principal quarterly'!K31+'[2]Summary Portfolios'!$B$163*'[2]IO to Equal Qtrly calcs'!K31</f>
        <v>40032.064994500659</v>
      </c>
      <c r="M692" s="302">
        <f>'[2]Summary Portfolios'!$B$159*'[2]Level PMT calcs'!L37+'[2]Summary Portfolios'!$B$160*'[2]Balloon calcs'!L31+'[2]Summary Portfolios'!$B$161*'[2]Bullet calcs'!L31+'[2]Summary Portfolios'!$B$162*'[2]Fixed principal quarterly'!L31+'[2]Summary Portfolios'!$B$163*'[2]IO to Equal Qtrly calcs'!L31</f>
        <v>39569.60218211481</v>
      </c>
      <c r="O692" s="14"/>
    </row>
    <row r="693" spans="3:15" ht="15" x14ac:dyDescent="0.25">
      <c r="C693"/>
      <c r="D693" s="375"/>
      <c r="E693" s="375"/>
      <c r="F693" s="375"/>
      <c r="G693" s="375"/>
      <c r="H693" s="375"/>
      <c r="I693" s="375"/>
      <c r="J693" s="375"/>
      <c r="K693" s="375"/>
      <c r="L693" s="375"/>
      <c r="M693" s="375"/>
      <c r="N693"/>
      <c r="O693" s="375"/>
    </row>
    <row r="694" spans="3:15" ht="15" x14ac:dyDescent="0.2">
      <c r="C694" s="326" t="s">
        <v>540</v>
      </c>
      <c r="D694" s="167"/>
      <c r="E694" s="275"/>
      <c r="F694" s="275"/>
      <c r="G694" s="275"/>
      <c r="H694" s="275"/>
      <c r="I694" s="275"/>
      <c r="J694" s="275"/>
      <c r="K694" s="276"/>
      <c r="L694" s="167"/>
      <c r="M694" s="167"/>
      <c r="N694" s="167"/>
      <c r="O694" s="167"/>
    </row>
    <row r="695" spans="3:15" ht="15" x14ac:dyDescent="0.25">
      <c r="C695"/>
      <c r="D695" s="375"/>
      <c r="E695" s="375"/>
      <c r="F695" s="375"/>
      <c r="G695" s="375"/>
      <c r="H695" s="375"/>
      <c r="I695" s="375"/>
      <c r="J695" s="375"/>
      <c r="K695" s="375"/>
      <c r="L695" s="375"/>
      <c r="M695" s="375"/>
      <c r="N695"/>
      <c r="O695" s="375"/>
    </row>
    <row r="696" spans="3:15" x14ac:dyDescent="0.2">
      <c r="C696" s="300" t="s">
        <v>541</v>
      </c>
      <c r="D696" s="302">
        <f>'[2]Summary Portfolios'!$B$159*'[2]Level PMT calcs'!C7+'[2]Summary Portfolios'!$B$160*'[2]Balloon calcs'!C7+'[2]Summary Portfolios'!$B$161*'[2]Bullet calcs'!C7+'[2]Summary Portfolios'!$B$162*'[2]Fixed principal quarterly'!C7+'[2]Summary Portfolios'!$B$163*'[2]IO to Equal Qtrly calcs'!C7</f>
        <v>0</v>
      </c>
      <c r="E696" s="302">
        <f>'[2]Summary Portfolios'!$B$159*'[2]Level PMT calcs'!D7+'[2]Summary Portfolios'!$B$160*'[2]Balloon calcs'!D7+'[2]Summary Portfolios'!$B$161*'[2]Bullet calcs'!D7+'[2]Summary Portfolios'!$B$162*'[2]Fixed principal quarterly'!D7+'[2]Summary Portfolios'!$B$163*'[2]IO to Equal Qtrly calcs'!D7</f>
        <v>0</v>
      </c>
      <c r="F696" s="302">
        <f>'[2]Summary Portfolios'!$B$159*'[2]Level PMT calcs'!E7+'[2]Summary Portfolios'!$B$160*'[2]Balloon calcs'!E7+'[2]Summary Portfolios'!$B$161*'[2]Bullet calcs'!E7+'[2]Summary Portfolios'!$B$162*'[2]Fixed principal quarterly'!E7+'[2]Summary Portfolios'!$B$163*'[2]IO to Equal Qtrly calcs'!E7</f>
        <v>0</v>
      </c>
      <c r="G696" s="302">
        <f>'[2]Summary Portfolios'!$B$159*'[2]Level PMT calcs'!F7+'[2]Summary Portfolios'!$B$160*'[2]Balloon calcs'!F7+'[2]Summary Portfolios'!$B$161*'[2]Bullet calcs'!F7+'[2]Summary Portfolios'!$B$162*'[2]Fixed principal quarterly'!F7+'[2]Summary Portfolios'!$B$163*'[2]IO to Equal Qtrly calcs'!F7</f>
        <v>0</v>
      </c>
      <c r="H696" s="302">
        <f>'[2]Summary Portfolios'!$B$159*'[2]Level PMT calcs'!G7+'[2]Summary Portfolios'!$B$160*'[2]Balloon calcs'!G7+'[2]Summary Portfolios'!$B$161*'[2]Bullet calcs'!G7+'[2]Summary Portfolios'!$B$162*'[2]Fixed principal quarterly'!G7+'[2]Summary Portfolios'!$B$163*'[2]IO to Equal Qtrly calcs'!G7</f>
        <v>0</v>
      </c>
      <c r="I696" s="302">
        <f>'[2]Summary Portfolios'!$B$159*'[2]Level PMT calcs'!H7+'[2]Summary Portfolios'!$B$160*'[2]Balloon calcs'!H7+'[2]Summary Portfolios'!$B$161*'[2]Bullet calcs'!H7+'[2]Summary Portfolios'!$B$162*'[2]Fixed principal quarterly'!H7+'[2]Summary Portfolios'!$B$163*'[2]IO to Equal Qtrly calcs'!H7</f>
        <v>0</v>
      </c>
      <c r="J696" s="302">
        <f>'[2]Summary Portfolios'!$B$159*'[2]Level PMT calcs'!I7+'[2]Summary Portfolios'!$B$160*'[2]Balloon calcs'!I7+'[2]Summary Portfolios'!$B$161*'[2]Bullet calcs'!I7+'[2]Summary Portfolios'!$B$162*'[2]Fixed principal quarterly'!I7+'[2]Summary Portfolios'!$B$163*'[2]IO to Equal Qtrly calcs'!I7</f>
        <v>0</v>
      </c>
      <c r="K696" s="302">
        <f>'[2]Summary Portfolios'!$B$159*'[2]Level PMT calcs'!J7+'[2]Summary Portfolios'!$B$160*'[2]Balloon calcs'!J7+'[2]Summary Portfolios'!$B$161*'[2]Bullet calcs'!J7+'[2]Summary Portfolios'!$B$162*'[2]Fixed principal quarterly'!J7+'[2]Summary Portfolios'!$B$163*'[2]IO to Equal Qtrly calcs'!J7</f>
        <v>0</v>
      </c>
      <c r="L696" s="302">
        <f>'[2]Summary Portfolios'!$B$159*'[2]Level PMT calcs'!K7+'[2]Summary Portfolios'!$B$160*'[2]Balloon calcs'!K7+'[2]Summary Portfolios'!$B$161*'[2]Bullet calcs'!K7+'[2]Summary Portfolios'!$B$162*'[2]Fixed principal quarterly'!K7+'[2]Summary Portfolios'!$B$163*'[2]IO to Equal Qtrly calcs'!K7</f>
        <v>0</v>
      </c>
      <c r="M696" s="302">
        <f>'[2]Summary Portfolios'!$B$159*'[2]Level PMT calcs'!L7+'[2]Summary Portfolios'!$B$160*'[2]Balloon calcs'!L7+'[2]Summary Portfolios'!$B$161*'[2]Bullet calcs'!L7+'[2]Summary Portfolios'!$B$162*'[2]Fixed principal quarterly'!L7+'[2]Summary Portfolios'!$B$163*'[2]IO to Equal Qtrly calcs'!L7</f>
        <v>0</v>
      </c>
      <c r="O696" s="302">
        <f t="shared" ref="O696:O704" si="38">SUM(D696:M696)</f>
        <v>0</v>
      </c>
    </row>
    <row r="697" spans="3:15" x14ac:dyDescent="0.2">
      <c r="C697" s="300" t="s">
        <v>542</v>
      </c>
      <c r="D697" s="302">
        <f>'[2]Summary Portfolios'!$B$159*'[2]Level PMT calcs'!C8+'[2]Summary Portfolios'!$B$160*'[2]Balloon calcs'!C8+'[2]Summary Portfolios'!$B$161*'[2]Bullet calcs'!C8+'[2]Summary Portfolios'!$B$162*'[2]Fixed principal quarterly'!C8+'[2]Summary Portfolios'!$B$163*'[2]IO to Equal Qtrly calcs'!C8</f>
        <v>2500000</v>
      </c>
      <c r="E697" s="302">
        <f>'[2]Summary Portfolios'!$B$159*'[2]Level PMT calcs'!D8+'[2]Summary Portfolios'!$B$160*'[2]Balloon calcs'!D8+'[2]Summary Portfolios'!$B$161*'[2]Bullet calcs'!D8+'[2]Summary Portfolios'!$B$162*'[2]Fixed principal quarterly'!D8+'[2]Summary Portfolios'!$B$163*'[2]IO to Equal Qtrly calcs'!D8</f>
        <v>7500000</v>
      </c>
      <c r="F697" s="302">
        <f>'[2]Summary Portfolios'!$B$159*'[2]Level PMT calcs'!E8+'[2]Summary Portfolios'!$B$160*'[2]Balloon calcs'!E8+'[2]Summary Portfolios'!$B$161*'[2]Bullet calcs'!E8+'[2]Summary Portfolios'!$B$162*'[2]Fixed principal quarterly'!E8+'[2]Summary Portfolios'!$B$163*'[2]IO to Equal Qtrly calcs'!E8</f>
        <v>25000000</v>
      </c>
      <c r="G697" s="302">
        <f>'[2]Summary Portfolios'!$B$159*'[2]Level PMT calcs'!F8+'[2]Summary Portfolios'!$B$160*'[2]Balloon calcs'!F8+'[2]Summary Portfolios'!$B$161*'[2]Bullet calcs'!F8+'[2]Summary Portfolios'!$B$162*'[2]Fixed principal quarterly'!F8+'[2]Summary Portfolios'!$B$163*'[2]IO to Equal Qtrly calcs'!F8</f>
        <v>37500000</v>
      </c>
      <c r="H697" s="302">
        <f>'[2]Summary Portfolios'!$B$159*'[2]Level PMT calcs'!G8+'[2]Summary Portfolios'!$B$160*'[2]Balloon calcs'!G8+'[2]Summary Portfolios'!$B$161*'[2]Bullet calcs'!G8+'[2]Summary Portfolios'!$B$162*'[2]Fixed principal quarterly'!G8+'[2]Summary Portfolios'!$B$163*'[2]IO to Equal Qtrly calcs'!G8</f>
        <v>50000000</v>
      </c>
      <c r="I697" s="302">
        <f>'[2]Summary Portfolios'!$B$159*'[2]Level PMT calcs'!H8+'[2]Summary Portfolios'!$B$160*'[2]Balloon calcs'!H8+'[2]Summary Portfolios'!$B$161*'[2]Bullet calcs'!H8+'[2]Summary Portfolios'!$B$162*'[2]Fixed principal quarterly'!H8+'[2]Summary Portfolios'!$B$163*'[2]IO to Equal Qtrly calcs'!H8</f>
        <v>50000000</v>
      </c>
      <c r="J697" s="302">
        <f>'[2]Summary Portfolios'!$B$159*'[2]Level PMT calcs'!I8+'[2]Summary Portfolios'!$B$160*'[2]Balloon calcs'!I8+'[2]Summary Portfolios'!$B$161*'[2]Bullet calcs'!I8+'[2]Summary Portfolios'!$B$162*'[2]Fixed principal quarterly'!I8+'[2]Summary Portfolios'!$B$163*'[2]IO to Equal Qtrly calcs'!I8</f>
        <v>52500000</v>
      </c>
      <c r="K697" s="302">
        <f>'[2]Summary Portfolios'!$B$159*'[2]Level PMT calcs'!J8+'[2]Summary Portfolios'!$B$160*'[2]Balloon calcs'!J8+'[2]Summary Portfolios'!$B$161*'[2]Bullet calcs'!J8+'[2]Summary Portfolios'!$B$162*'[2]Fixed principal quarterly'!J8+'[2]Summary Portfolios'!$B$163*'[2]IO to Equal Qtrly calcs'!J8</f>
        <v>40000000</v>
      </c>
      <c r="L697" s="302">
        <f>'[2]Summary Portfolios'!$B$159*'[2]Level PMT calcs'!K8+'[2]Summary Portfolios'!$B$160*'[2]Balloon calcs'!K8+'[2]Summary Portfolios'!$B$161*'[2]Bullet calcs'!K8+'[2]Summary Portfolios'!$B$162*'[2]Fixed principal quarterly'!K8+'[2]Summary Portfolios'!$B$163*'[2]IO to Equal Qtrly calcs'!K8</f>
        <v>37500000</v>
      </c>
      <c r="M697" s="302">
        <f>'[2]Summary Portfolios'!$B$159*'[2]Level PMT calcs'!L8+'[2]Summary Portfolios'!$B$160*'[2]Balloon calcs'!L8+'[2]Summary Portfolios'!$B$161*'[2]Bullet calcs'!L8+'[2]Summary Portfolios'!$B$162*'[2]Fixed principal quarterly'!L8+'[2]Summary Portfolios'!$B$163*'[2]IO to Equal Qtrly calcs'!L8</f>
        <v>47500000</v>
      </c>
      <c r="O697" s="302">
        <f t="shared" si="38"/>
        <v>350000000</v>
      </c>
    </row>
    <row r="698" spans="3:15" x14ac:dyDescent="0.2">
      <c r="C698" s="300" t="s">
        <v>543</v>
      </c>
      <c r="D698" s="302">
        <f>'[2]Summary Portfolios'!$B$159*'[2]Level PMT calcs'!C9+'[2]Summary Portfolios'!$B$160*'[2]Balloon calcs'!C9+'[2]Summary Portfolios'!$B$161*'[2]Bullet calcs'!C9+'[2]Summary Portfolios'!$B$162*'[2]Fixed principal quarterly'!C9+'[2]Summary Portfolios'!$B$163*'[2]IO to Equal Qtrly calcs'!C9</f>
        <v>0</v>
      </c>
      <c r="E698" s="302">
        <f>'[2]Summary Portfolios'!$B$159*'[2]Level PMT calcs'!D9+'[2]Summary Portfolios'!$B$160*'[2]Balloon calcs'!D9+'[2]Summary Portfolios'!$B$161*'[2]Bullet calcs'!D9+'[2]Summary Portfolios'!$B$162*'[2]Fixed principal quarterly'!D9+'[2]Summary Portfolios'!$B$163*'[2]IO to Equal Qtrly calcs'!D9</f>
        <v>0</v>
      </c>
      <c r="F698" s="302">
        <f>'[2]Summary Portfolios'!$B$159*'[2]Level PMT calcs'!E9+'[2]Summary Portfolios'!$B$160*'[2]Balloon calcs'!E9+'[2]Summary Portfolios'!$B$161*'[2]Bullet calcs'!E9+'[2]Summary Portfolios'!$B$162*'[2]Fixed principal quarterly'!E9+'[2]Summary Portfolios'!$B$163*'[2]IO to Equal Qtrly calcs'!E9</f>
        <v>0</v>
      </c>
      <c r="G698" s="302">
        <f>'[2]Summary Portfolios'!$B$159*'[2]Level PMT calcs'!F9+'[2]Summary Portfolios'!$B$160*'[2]Balloon calcs'!F9+'[2]Summary Portfolios'!$B$161*'[2]Bullet calcs'!F9+'[2]Summary Portfolios'!$B$162*'[2]Fixed principal quarterly'!F9+'[2]Summary Portfolios'!$B$163*'[2]IO to Equal Qtrly calcs'!F9</f>
        <v>0</v>
      </c>
      <c r="H698" s="302">
        <f>'[2]Summary Portfolios'!$B$159*'[2]Level PMT calcs'!G9+'[2]Summary Portfolios'!$B$160*'[2]Balloon calcs'!G9+'[2]Summary Portfolios'!$B$161*'[2]Bullet calcs'!G9+'[2]Summary Portfolios'!$B$162*'[2]Fixed principal quarterly'!G9+'[2]Summary Portfolios'!$B$163*'[2]IO to Equal Qtrly calcs'!G9</f>
        <v>0</v>
      </c>
      <c r="I698" s="302">
        <f>'[2]Summary Portfolios'!$B$159*'[2]Level PMT calcs'!H9+'[2]Summary Portfolios'!$B$160*'[2]Balloon calcs'!H9+'[2]Summary Portfolios'!$B$161*'[2]Bullet calcs'!H9+'[2]Summary Portfolios'!$B$162*'[2]Fixed principal quarterly'!H9+'[2]Summary Portfolios'!$B$163*'[2]IO to Equal Qtrly calcs'!H9</f>
        <v>0</v>
      </c>
      <c r="J698" s="302">
        <f>'[2]Summary Portfolios'!$B$159*'[2]Level PMT calcs'!I9+'[2]Summary Portfolios'!$B$160*'[2]Balloon calcs'!I9+'[2]Summary Portfolios'!$B$161*'[2]Bullet calcs'!I9+'[2]Summary Portfolios'!$B$162*'[2]Fixed principal quarterly'!I9+'[2]Summary Portfolios'!$B$163*'[2]IO to Equal Qtrly calcs'!I9</f>
        <v>0</v>
      </c>
      <c r="K698" s="302">
        <f>'[2]Summary Portfolios'!$B$159*'[2]Level PMT calcs'!J9+'[2]Summary Portfolios'!$B$160*'[2]Balloon calcs'!J9+'[2]Summary Portfolios'!$B$161*'[2]Bullet calcs'!J9+'[2]Summary Portfolios'!$B$162*'[2]Fixed principal quarterly'!J9+'[2]Summary Portfolios'!$B$163*'[2]IO to Equal Qtrly calcs'!J9</f>
        <v>0</v>
      </c>
      <c r="L698" s="302">
        <f>'[2]Summary Portfolios'!$B$159*'[2]Level PMT calcs'!K9+'[2]Summary Portfolios'!$B$160*'[2]Balloon calcs'!K9+'[2]Summary Portfolios'!$B$161*'[2]Bullet calcs'!K9+'[2]Summary Portfolios'!$B$162*'[2]Fixed principal quarterly'!K9+'[2]Summary Portfolios'!$B$163*'[2]IO to Equal Qtrly calcs'!K9</f>
        <v>0</v>
      </c>
      <c r="M698" s="302">
        <f>'[2]Summary Portfolios'!$B$159*'[2]Level PMT calcs'!L9+'[2]Summary Portfolios'!$B$160*'[2]Balloon calcs'!L9+'[2]Summary Portfolios'!$B$161*'[2]Bullet calcs'!L9+'[2]Summary Portfolios'!$B$162*'[2]Fixed principal quarterly'!L9+'[2]Summary Portfolios'!$B$163*'[2]IO to Equal Qtrly calcs'!L9</f>
        <v>0</v>
      </c>
      <c r="O698" s="302">
        <f t="shared" si="38"/>
        <v>0</v>
      </c>
    </row>
    <row r="699" spans="3:15" x14ac:dyDescent="0.2">
      <c r="C699" s="300" t="s">
        <v>544</v>
      </c>
      <c r="D699" s="302">
        <f>'[2]Summary Portfolios'!$B$159*'[2]Level PMT calcs'!C10+'[2]Summary Portfolios'!$B$160*'[2]Balloon calcs'!C10+'[2]Summary Portfolios'!$B$161*'[2]Bullet calcs'!C10+'[2]Summary Portfolios'!$B$162*'[2]Fixed principal quarterly'!C10+'[2]Summary Portfolios'!$B$163*'[2]IO to Equal Qtrly calcs'!C10</f>
        <v>0</v>
      </c>
      <c r="E699" s="302">
        <f>'[2]Summary Portfolios'!$B$159*'[2]Level PMT calcs'!D10+'[2]Summary Portfolios'!$B$160*'[2]Balloon calcs'!D10+'[2]Summary Portfolios'!$B$161*'[2]Bullet calcs'!D10+'[2]Summary Portfolios'!$B$162*'[2]Fixed principal quarterly'!D10+'[2]Summary Portfolios'!$B$163*'[2]IO to Equal Qtrly calcs'!D10</f>
        <v>0</v>
      </c>
      <c r="F699" s="302">
        <f>'[2]Summary Portfolios'!$B$159*'[2]Level PMT calcs'!E10+'[2]Summary Portfolios'!$B$160*'[2]Balloon calcs'!E10+'[2]Summary Portfolios'!$B$161*'[2]Bullet calcs'!E10+'[2]Summary Portfolios'!$B$162*'[2]Fixed principal quarterly'!E10+'[2]Summary Portfolios'!$B$163*'[2]IO to Equal Qtrly calcs'!E10</f>
        <v>0</v>
      </c>
      <c r="G699" s="302">
        <f>'[2]Summary Portfolios'!$B$159*'[2]Level PMT calcs'!F10+'[2]Summary Portfolios'!$B$160*'[2]Balloon calcs'!F10+'[2]Summary Portfolios'!$B$161*'[2]Bullet calcs'!F10+'[2]Summary Portfolios'!$B$162*'[2]Fixed principal quarterly'!F10+'[2]Summary Portfolios'!$B$163*'[2]IO to Equal Qtrly calcs'!F10</f>
        <v>0</v>
      </c>
      <c r="H699" s="302">
        <f>'[2]Summary Portfolios'!$B$159*'[2]Level PMT calcs'!G10+'[2]Summary Portfolios'!$B$160*'[2]Balloon calcs'!G10+'[2]Summary Portfolios'!$B$161*'[2]Bullet calcs'!G10+'[2]Summary Portfolios'!$B$162*'[2]Fixed principal quarterly'!G10+'[2]Summary Portfolios'!$B$163*'[2]IO to Equal Qtrly calcs'!G10</f>
        <v>0</v>
      </c>
      <c r="I699" s="302">
        <f>'[2]Summary Portfolios'!$B$159*'[2]Level PMT calcs'!H10+'[2]Summary Portfolios'!$B$160*'[2]Balloon calcs'!H10+'[2]Summary Portfolios'!$B$161*'[2]Bullet calcs'!H10+'[2]Summary Portfolios'!$B$162*'[2]Fixed principal quarterly'!H10+'[2]Summary Portfolios'!$B$163*'[2]IO to Equal Qtrly calcs'!H10</f>
        <v>0</v>
      </c>
      <c r="J699" s="302">
        <f>'[2]Summary Portfolios'!$B$159*'[2]Level PMT calcs'!I10+'[2]Summary Portfolios'!$B$160*'[2]Balloon calcs'!I10+'[2]Summary Portfolios'!$B$161*'[2]Bullet calcs'!I10+'[2]Summary Portfolios'!$B$162*'[2]Fixed principal quarterly'!I10+'[2]Summary Portfolios'!$B$163*'[2]IO to Equal Qtrly calcs'!I10</f>
        <v>0</v>
      </c>
      <c r="K699" s="302">
        <f>'[2]Summary Portfolios'!$B$159*'[2]Level PMT calcs'!J10+'[2]Summary Portfolios'!$B$160*'[2]Balloon calcs'!J10+'[2]Summary Portfolios'!$B$161*'[2]Bullet calcs'!J10+'[2]Summary Portfolios'!$B$162*'[2]Fixed principal quarterly'!J10+'[2]Summary Portfolios'!$B$163*'[2]IO to Equal Qtrly calcs'!J10</f>
        <v>0</v>
      </c>
      <c r="L699" s="302">
        <f>'[2]Summary Portfolios'!$B$159*'[2]Level PMT calcs'!K10+'[2]Summary Portfolios'!$B$160*'[2]Balloon calcs'!K10+'[2]Summary Portfolios'!$B$161*'[2]Bullet calcs'!K10+'[2]Summary Portfolios'!$B$162*'[2]Fixed principal quarterly'!K10+'[2]Summary Portfolios'!$B$163*'[2]IO to Equal Qtrly calcs'!K10</f>
        <v>0</v>
      </c>
      <c r="M699" s="302">
        <f>'[2]Summary Portfolios'!$B$159*'[2]Level PMT calcs'!L10+'[2]Summary Portfolios'!$B$160*'[2]Balloon calcs'!L10+'[2]Summary Portfolios'!$B$161*'[2]Bullet calcs'!L10+'[2]Summary Portfolios'!$B$162*'[2]Fixed principal quarterly'!L10+'[2]Summary Portfolios'!$B$163*'[2]IO to Equal Qtrly calcs'!L10</f>
        <v>0</v>
      </c>
      <c r="O699" s="302">
        <f t="shared" si="38"/>
        <v>0</v>
      </c>
    </row>
    <row r="700" spans="3:15" x14ac:dyDescent="0.2">
      <c r="C700" s="300" t="s">
        <v>545</v>
      </c>
      <c r="D700" s="302">
        <f>'[2]Summary Portfolios'!$B$159*'[2]Level PMT calcs'!C11+'[2]Summary Portfolios'!$B$160*'[2]Balloon calcs'!C11+'[2]Summary Portfolios'!$B$161*'[2]Bullet calcs'!C11+'[2]Summary Portfolios'!$B$162*'[2]Fixed principal quarterly'!C11+'[2]Summary Portfolios'!$B$163*'[2]IO to Equal Qtrly calcs'!C11</f>
        <v>0</v>
      </c>
      <c r="E700" s="302">
        <f>'[2]Summary Portfolios'!$B$159*'[2]Level PMT calcs'!D11+'[2]Summary Portfolios'!$B$160*'[2]Balloon calcs'!D11+'[2]Summary Portfolios'!$B$161*'[2]Bullet calcs'!D11+'[2]Summary Portfolios'!$B$162*'[2]Fixed principal quarterly'!D11+'[2]Summary Portfolios'!$B$163*'[2]IO to Equal Qtrly calcs'!D11</f>
        <v>0</v>
      </c>
      <c r="F700" s="302">
        <f>'[2]Summary Portfolios'!$B$159*'[2]Level PMT calcs'!E11+'[2]Summary Portfolios'!$B$160*'[2]Balloon calcs'!E11+'[2]Summary Portfolios'!$B$161*'[2]Bullet calcs'!E11+'[2]Summary Portfolios'!$B$162*'[2]Fixed principal quarterly'!E11+'[2]Summary Portfolios'!$B$163*'[2]IO to Equal Qtrly calcs'!E11</f>
        <v>0</v>
      </c>
      <c r="G700" s="302">
        <f>'[2]Summary Portfolios'!$B$159*'[2]Level PMT calcs'!F11+'[2]Summary Portfolios'!$B$160*'[2]Balloon calcs'!F11+'[2]Summary Portfolios'!$B$161*'[2]Bullet calcs'!F11+'[2]Summary Portfolios'!$B$162*'[2]Fixed principal quarterly'!F11+'[2]Summary Portfolios'!$B$163*'[2]IO to Equal Qtrly calcs'!F11</f>
        <v>0</v>
      </c>
      <c r="H700" s="302">
        <f>'[2]Summary Portfolios'!$B$159*'[2]Level PMT calcs'!G11+'[2]Summary Portfolios'!$B$160*'[2]Balloon calcs'!G11+'[2]Summary Portfolios'!$B$161*'[2]Bullet calcs'!G11+'[2]Summary Portfolios'!$B$162*'[2]Fixed principal quarterly'!G11+'[2]Summary Portfolios'!$B$163*'[2]IO to Equal Qtrly calcs'!G11</f>
        <v>0</v>
      </c>
      <c r="I700" s="302">
        <f>'[2]Summary Portfolios'!$B$159*'[2]Level PMT calcs'!H11+'[2]Summary Portfolios'!$B$160*'[2]Balloon calcs'!H11+'[2]Summary Portfolios'!$B$161*'[2]Bullet calcs'!H11+'[2]Summary Portfolios'!$B$162*'[2]Fixed principal quarterly'!H11+'[2]Summary Portfolios'!$B$163*'[2]IO to Equal Qtrly calcs'!H11</f>
        <v>0</v>
      </c>
      <c r="J700" s="302">
        <f>'[2]Summary Portfolios'!$B$159*'[2]Level PMT calcs'!I11+'[2]Summary Portfolios'!$B$160*'[2]Balloon calcs'!I11+'[2]Summary Portfolios'!$B$161*'[2]Bullet calcs'!I11+'[2]Summary Portfolios'!$B$162*'[2]Fixed principal quarterly'!I11+'[2]Summary Portfolios'!$B$163*'[2]IO to Equal Qtrly calcs'!I11</f>
        <v>0</v>
      </c>
      <c r="K700" s="302">
        <f>'[2]Summary Portfolios'!$B$159*'[2]Level PMT calcs'!J11+'[2]Summary Portfolios'!$B$160*'[2]Balloon calcs'!J11+'[2]Summary Portfolios'!$B$161*'[2]Bullet calcs'!J11+'[2]Summary Portfolios'!$B$162*'[2]Fixed principal quarterly'!J11+'[2]Summary Portfolios'!$B$163*'[2]IO to Equal Qtrly calcs'!J11</f>
        <v>0</v>
      </c>
      <c r="L700" s="302">
        <f>'[2]Summary Portfolios'!$B$159*'[2]Level PMT calcs'!K11+'[2]Summary Portfolios'!$B$160*'[2]Balloon calcs'!K11+'[2]Summary Portfolios'!$B$161*'[2]Bullet calcs'!K11+'[2]Summary Portfolios'!$B$162*'[2]Fixed principal quarterly'!K11+'[2]Summary Portfolios'!$B$163*'[2]IO to Equal Qtrly calcs'!K11</f>
        <v>0</v>
      </c>
      <c r="M700" s="302">
        <f>'[2]Summary Portfolios'!$B$159*'[2]Level PMT calcs'!L11+'[2]Summary Portfolios'!$B$160*'[2]Balloon calcs'!L11+'[2]Summary Portfolios'!$B$161*'[2]Bullet calcs'!L11+'[2]Summary Portfolios'!$B$162*'[2]Fixed principal quarterly'!L11+'[2]Summary Portfolios'!$B$163*'[2]IO to Equal Qtrly calcs'!L11</f>
        <v>0</v>
      </c>
      <c r="O700" s="302">
        <f t="shared" si="38"/>
        <v>0</v>
      </c>
    </row>
    <row r="701" spans="3:15" x14ac:dyDescent="0.2">
      <c r="C701" s="300" t="s">
        <v>546</v>
      </c>
      <c r="D701" s="302">
        <f>-D700*'[2]Program design'!E89</f>
        <v>0</v>
      </c>
      <c r="E701" s="302">
        <f>-E700*'[2]Program design'!F89</f>
        <v>0</v>
      </c>
      <c r="F701" s="302">
        <f>-F700*'[2]Program design'!G89</f>
        <v>0</v>
      </c>
      <c r="G701" s="302">
        <f>-G700*'[2]Program design'!H89</f>
        <v>0</v>
      </c>
      <c r="H701" s="302">
        <f>-H700*'[2]Program design'!I89</f>
        <v>0</v>
      </c>
      <c r="I701" s="302">
        <f>-I700*'[2]Program design'!J89</f>
        <v>0</v>
      </c>
      <c r="J701" s="302">
        <f>-J700*'[2]Program design'!K89</f>
        <v>0</v>
      </c>
      <c r="K701" s="302">
        <f>-K700*'[2]Program design'!L89</f>
        <v>0</v>
      </c>
      <c r="L701" s="302">
        <f>-L700*'[2]Program design'!M89</f>
        <v>0</v>
      </c>
      <c r="M701" s="302">
        <f>-M700*'[2]Program design'!N89</f>
        <v>0</v>
      </c>
      <c r="O701" s="302">
        <f t="shared" si="38"/>
        <v>0</v>
      </c>
    </row>
    <row r="702" spans="3:15" x14ac:dyDescent="0.2">
      <c r="C702" s="300" t="s">
        <v>547</v>
      </c>
      <c r="D702" s="302">
        <f>'[2]Summary Portfolios'!$B$159*'[2]Level PMT calcs'!C12+'[2]Summary Portfolios'!$B$160*'[2]Balloon calcs'!C12+'[2]Summary Portfolios'!$B$161*'[2]Bullet calcs'!C12+'[2]Summary Portfolios'!$B$162*'[2]Fixed principal quarterly'!C12+'[2]Summary Portfolios'!$B$163*'[2]IO to Equal Qtrly calcs'!C12</f>
        <v>0</v>
      </c>
      <c r="E702" s="302">
        <f>'[2]Summary Portfolios'!$B$159*'[2]Level PMT calcs'!D12+'[2]Summary Portfolios'!$B$160*'[2]Balloon calcs'!D12+'[2]Summary Portfolios'!$B$161*'[2]Bullet calcs'!D12+'[2]Summary Portfolios'!$B$162*'[2]Fixed principal quarterly'!D12+'[2]Summary Portfolios'!$B$163*'[2]IO to Equal Qtrly calcs'!D12</f>
        <v>1855.0297418553498</v>
      </c>
      <c r="F702" s="302">
        <f>'[2]Summary Portfolios'!$B$159*'[2]Level PMT calcs'!E12+'[2]Summary Portfolios'!$B$160*'[2]Balloon calcs'!E12+'[2]Summary Portfolios'!$B$161*'[2]Bullet calcs'!E12+'[2]Summary Portfolios'!$B$162*'[2]Fixed principal quarterly'!E12+'[2]Summary Portfolios'!$B$163*'[2]IO to Equal Qtrly calcs'!E12</f>
        <v>29840.08044903072</v>
      </c>
      <c r="G702" s="302">
        <f>'[2]Summary Portfolios'!$B$159*'[2]Level PMT calcs'!F12+'[2]Summary Portfolios'!$B$160*'[2]Balloon calcs'!F12+'[2]Summary Portfolios'!$B$161*'[2]Bullet calcs'!F12+'[2]Summary Portfolios'!$B$162*'[2]Fixed principal quarterly'!F12+'[2]Summary Portfolios'!$B$163*'[2]IO to Equal Qtrly calcs'!F12</f>
        <v>150621.53596134987</v>
      </c>
      <c r="H702" s="302">
        <f>'[2]Summary Portfolios'!$B$159*'[2]Level PMT calcs'!G12+'[2]Summary Portfolios'!$B$160*'[2]Balloon calcs'!G12+'[2]Summary Portfolios'!$B$161*'[2]Bullet calcs'!G12+'[2]Summary Portfolios'!$B$162*'[2]Fixed principal quarterly'!G12+'[2]Summary Portfolios'!$B$163*'[2]IO to Equal Qtrly calcs'!G12</f>
        <v>460425.51880409406</v>
      </c>
      <c r="I702" s="302">
        <f>'[2]Summary Portfolios'!$B$159*'[2]Level PMT calcs'!H12+'[2]Summary Portfolios'!$B$160*'[2]Balloon calcs'!H12+'[2]Summary Portfolios'!$B$161*'[2]Bullet calcs'!H12+'[2]Summary Portfolios'!$B$162*'[2]Fixed principal quarterly'!H12+'[2]Summary Portfolios'!$B$163*'[2]IO to Equal Qtrly calcs'!H12</f>
        <v>1000882.6027416296</v>
      </c>
      <c r="J702" s="302">
        <f>'[2]Summary Portfolios'!$B$159*'[2]Level PMT calcs'!I12+'[2]Summary Portfolios'!$B$160*'[2]Balloon calcs'!I12+'[2]Summary Portfolios'!$B$161*'[2]Bullet calcs'!I12+'[2]Summary Portfolios'!$B$162*'[2]Fixed principal quarterly'!I12+'[2]Summary Portfolios'!$B$163*'[2]IO to Equal Qtrly calcs'!I12</f>
        <v>1763765.0379821283</v>
      </c>
      <c r="K702" s="302">
        <f>'[2]Summary Portfolios'!$B$159*'[2]Level PMT calcs'!J12+'[2]Summary Portfolios'!$B$160*'[2]Balloon calcs'!J12+'[2]Summary Portfolios'!$B$161*'[2]Bullet calcs'!J12+'[2]Summary Portfolios'!$B$162*'[2]Fixed principal quarterly'!J12+'[2]Summary Portfolios'!$B$163*'[2]IO to Equal Qtrly calcs'!J12</f>
        <v>2588538.1639175992</v>
      </c>
      <c r="L702" s="302">
        <f>'[2]Summary Portfolios'!$B$159*'[2]Level PMT calcs'!K12+'[2]Summary Portfolios'!$B$160*'[2]Balloon calcs'!K12+'[2]Summary Portfolios'!$B$161*'[2]Bullet calcs'!K12+'[2]Summary Portfolios'!$B$162*'[2]Fixed principal quarterly'!K12+'[2]Summary Portfolios'!$B$163*'[2]IO to Equal Qtrly calcs'!K12</f>
        <v>3254293.82129726</v>
      </c>
      <c r="M702" s="302">
        <f>'[2]Summary Portfolios'!$B$159*'[2]Level PMT calcs'!L12+'[2]Summary Portfolios'!$B$160*'[2]Balloon calcs'!L12+'[2]Summary Portfolios'!$B$161*'[2]Bullet calcs'!L12+'[2]Summary Portfolios'!$B$162*'[2]Fixed principal quarterly'!L12+'[2]Summary Portfolios'!$B$163*'[2]IO to Equal Qtrly calcs'!L12</f>
        <v>3563017.5051240604</v>
      </c>
      <c r="O702" s="302">
        <f t="shared" si="38"/>
        <v>12813239.296019008</v>
      </c>
    </row>
    <row r="703" spans="3:15" x14ac:dyDescent="0.2">
      <c r="C703" s="300" t="s">
        <v>548</v>
      </c>
      <c r="D703" s="302">
        <f>'[2]Summary Portfolios'!$B$159*'[2]Level PMT calcs'!C13+'[2]Summary Portfolios'!$B$160*'[2]Balloon calcs'!C13+'[2]Summary Portfolios'!$B$161*'[2]Bullet calcs'!C13+'[2]Summary Portfolios'!$B$162*'[2]Fixed principal quarterly'!C13+'[2]Summary Portfolios'!$B$163*'[2]IO to Equal Qtrly calcs'!C13</f>
        <v>0</v>
      </c>
      <c r="E703" s="302">
        <f>'[2]Summary Portfolios'!$B$159*'[2]Level PMT calcs'!D13+'[2]Summary Portfolios'!$B$160*'[2]Balloon calcs'!D13+'[2]Summary Portfolios'!$B$161*'[2]Bullet calcs'!D13+'[2]Summary Portfolios'!$B$162*'[2]Fixed principal quarterly'!D13+'[2]Summary Portfolios'!$B$163*'[2]IO to Equal Qtrly calcs'!D13</f>
        <v>48646.107997759565</v>
      </c>
      <c r="F703" s="302">
        <f>'[2]Summary Portfolios'!$B$159*'[2]Level PMT calcs'!E13+'[2]Summary Portfolios'!$B$160*'[2]Balloon calcs'!E13+'[2]Summary Portfolios'!$B$161*'[2]Bullet calcs'!E13+'[2]Summary Portfolios'!$B$162*'[2]Fixed principal quarterly'!E13+'[2]Summary Portfolios'!$B$163*'[2]IO to Equal Qtrly calcs'!E13</f>
        <v>671539.74732907815</v>
      </c>
      <c r="G703" s="302">
        <f>'[2]Summary Portfolios'!$B$159*'[2]Level PMT calcs'!F13+'[2]Summary Portfolios'!$B$160*'[2]Balloon calcs'!F13+'[2]Summary Portfolios'!$B$161*'[2]Bullet calcs'!F13+'[2]Summary Portfolios'!$B$162*'[2]Fixed principal quarterly'!F13+'[2]Summary Portfolios'!$B$163*'[2]IO to Equal Qtrly calcs'!F13</f>
        <v>3042222.1370155388</v>
      </c>
      <c r="H703" s="302">
        <f>'[2]Summary Portfolios'!$B$159*'[2]Level PMT calcs'!G13+'[2]Summary Portfolios'!$B$160*'[2]Balloon calcs'!G13+'[2]Summary Portfolios'!$B$161*'[2]Bullet calcs'!G13+'[2]Summary Portfolios'!$B$162*'[2]Fixed principal quarterly'!G13+'[2]Summary Portfolios'!$B$163*'[2]IO to Equal Qtrly calcs'!G13</f>
        <v>8771802.7225643769</v>
      </c>
      <c r="I703" s="302">
        <f>'[2]Summary Portfolios'!$B$159*'[2]Level PMT calcs'!H13+'[2]Summary Portfolios'!$B$160*'[2]Balloon calcs'!H13+'[2]Summary Portfolios'!$B$161*'[2]Bullet calcs'!H13+'[2]Summary Portfolios'!$B$162*'[2]Fixed principal quarterly'!H13+'[2]Summary Portfolios'!$B$163*'[2]IO to Equal Qtrly calcs'!H13</f>
        <v>18879326.799635135</v>
      </c>
      <c r="J703" s="302">
        <f>'[2]Summary Portfolios'!$B$159*'[2]Level PMT calcs'!I13+'[2]Summary Portfolios'!$B$160*'[2]Balloon calcs'!I13+'[2]Summary Portfolios'!$B$161*'[2]Bullet calcs'!I13+'[2]Summary Portfolios'!$B$162*'[2]Fixed principal quarterly'!I13+'[2]Summary Portfolios'!$B$163*'[2]IO to Equal Qtrly calcs'!I13</f>
        <v>33252112.903967805</v>
      </c>
      <c r="K703" s="302">
        <f>'[2]Summary Portfolios'!$B$159*'[2]Level PMT calcs'!J13+'[2]Summary Portfolios'!$B$160*'[2]Balloon calcs'!J13+'[2]Summary Portfolios'!$B$161*'[2]Bullet calcs'!J13+'[2]Summary Portfolios'!$B$162*'[2]Fixed principal quarterly'!J13+'[2]Summary Portfolios'!$B$163*'[2]IO to Equal Qtrly calcs'!J13</f>
        <v>49484333.040823266</v>
      </c>
      <c r="L703" s="302">
        <f>'[2]Summary Portfolios'!$B$159*'[2]Level PMT calcs'!K13+'[2]Summary Portfolios'!$B$160*'[2]Balloon calcs'!K13+'[2]Summary Portfolios'!$B$161*'[2]Bullet calcs'!K13+'[2]Summary Portfolios'!$B$162*'[2]Fixed principal quarterly'!K13+'[2]Summary Portfolios'!$B$163*'[2]IO to Equal Qtrly calcs'!K13</f>
        <v>63779915.605417617</v>
      </c>
      <c r="M703" s="302">
        <f>'[2]Summary Portfolios'!$B$159*'[2]Level PMT calcs'!L13+'[2]Summary Portfolios'!$B$160*'[2]Balloon calcs'!L13+'[2]Summary Portfolios'!$B$161*'[2]Bullet calcs'!L13+'[2]Summary Portfolios'!$B$162*'[2]Fixed principal quarterly'!L13+'[2]Summary Portfolios'!$B$163*'[2]IO to Equal Qtrly calcs'!L13</f>
        <v>72834943.221330076</v>
      </c>
      <c r="O703" s="302">
        <f t="shared" si="38"/>
        <v>250764842.28608066</v>
      </c>
    </row>
    <row r="704" spans="3:15" x14ac:dyDescent="0.2">
      <c r="C704" s="301" t="s">
        <v>549</v>
      </c>
      <c r="D704" s="304">
        <f t="shared" ref="D704:M704" si="39">SUM(D696:D703)</f>
        <v>2500000</v>
      </c>
      <c r="E704" s="304">
        <f t="shared" si="39"/>
        <v>7550501.1377396146</v>
      </c>
      <c r="F704" s="304">
        <f t="shared" si="39"/>
        <v>25701379.827778108</v>
      </c>
      <c r="G704" s="304">
        <f t="shared" si="39"/>
        <v>40692843.672976889</v>
      </c>
      <c r="H704" s="304">
        <f t="shared" si="39"/>
        <v>59232228.241368473</v>
      </c>
      <c r="I704" s="304">
        <f t="shared" si="39"/>
        <v>69880209.402376771</v>
      </c>
      <c r="J704" s="304">
        <f t="shared" si="39"/>
        <v>87515877.941949934</v>
      </c>
      <c r="K704" s="304">
        <f t="shared" si="39"/>
        <v>92072871.204740867</v>
      </c>
      <c r="L704" s="304">
        <f t="shared" si="39"/>
        <v>104534209.42671487</v>
      </c>
      <c r="M704" s="304">
        <f t="shared" si="39"/>
        <v>123897960.72645414</v>
      </c>
      <c r="O704" s="304">
        <f t="shared" si="38"/>
        <v>613578081.58209968</v>
      </c>
    </row>
    <row r="705" spans="3:15" x14ac:dyDescent="0.2">
      <c r="D705" s="302"/>
      <c r="E705" s="302"/>
      <c r="F705" s="302"/>
      <c r="G705" s="302"/>
      <c r="H705" s="302"/>
      <c r="I705" s="302"/>
      <c r="J705" s="302"/>
      <c r="K705" s="302"/>
      <c r="L705" s="302"/>
      <c r="M705" s="302"/>
      <c r="O705" s="302"/>
    </row>
    <row r="706" spans="3:15" x14ac:dyDescent="0.2">
      <c r="C706" s="300" t="s">
        <v>550</v>
      </c>
      <c r="D706" s="302">
        <f>'M2'!E667</f>
        <v>1125000</v>
      </c>
      <c r="E706" s="302">
        <f>'M2'!F667</f>
        <v>1147500</v>
      </c>
      <c r="F706" s="302">
        <f>'M2'!G667</f>
        <v>1170450</v>
      </c>
      <c r="G706" s="302">
        <f>'M2'!H667</f>
        <v>1193859</v>
      </c>
      <c r="H706" s="302">
        <f>'M2'!I667</f>
        <v>1217736.1800000002</v>
      </c>
      <c r="I706" s="302">
        <f>'M2'!J667</f>
        <v>1242090.9036000001</v>
      </c>
      <c r="J706" s="302">
        <f>'M2'!K667</f>
        <v>1266932.7216720001</v>
      </c>
      <c r="K706" s="302">
        <f>'M2'!L667</f>
        <v>1292271.3761054403</v>
      </c>
      <c r="L706" s="302">
        <f>'M2'!M667</f>
        <v>1318116.803627549</v>
      </c>
      <c r="M706" s="302">
        <f>'M2'!N667</f>
        <v>1344479.1397000998</v>
      </c>
      <c r="O706" s="302">
        <f>SUM(D706:M706)</f>
        <v>12318436.124705089</v>
      </c>
    </row>
    <row r="707" spans="3:15" x14ac:dyDescent="0.2">
      <c r="C707" s="300" t="s">
        <v>551</v>
      </c>
      <c r="D707" s="302">
        <f>'[2]Summary Portfolios'!$B$159*'[2]Level PMT calcs'!C15+'[2]Summary Portfolios'!$B$160*'[2]Balloon calcs'!C15+'[2]Summary Portfolios'!$B$161*'[2]Bullet calcs'!C15+'[2]Summary Portfolios'!$B$162*'[2]Fixed principal quarterly'!C15+'[2]Summary Portfolios'!$B$163*'[2]IO to Equal Qtrly calcs'!C15</f>
        <v>0</v>
      </c>
      <c r="E707" s="302">
        <f>'[2]Summary Portfolios'!$B$159*'[2]Level PMT calcs'!D15+'[2]Summary Portfolios'!$B$160*'[2]Balloon calcs'!D15+'[2]Summary Portfolios'!$B$161*'[2]Bullet calcs'!D15+'[2]Summary Portfolios'!$B$162*'[2]Fixed principal quarterly'!D15+'[2]Summary Portfolios'!$B$163*'[2]IO to Equal Qtrly calcs'!D15</f>
        <v>353665.04434846033</v>
      </c>
      <c r="F707" s="302">
        <f>'[2]Summary Portfolios'!$B$159*'[2]Level PMT calcs'!E15+'[2]Summary Portfolios'!$B$160*'[2]Balloon calcs'!E15+'[2]Summary Portfolios'!$B$161*'[2]Bullet calcs'!E15+'[2]Summary Portfolios'!$B$162*'[2]Fixed principal quarterly'!E15+'[2]Summary Portfolios'!$B$163*'[2]IO to Equal Qtrly calcs'!E15</f>
        <v>4124334.9792145607</v>
      </c>
      <c r="G707" s="302">
        <f>'[2]Summary Portfolios'!$B$159*'[2]Level PMT calcs'!F15+'[2]Summary Portfolios'!$B$160*'[2]Balloon calcs'!F15+'[2]Summary Portfolios'!$B$161*'[2]Bullet calcs'!F15+'[2]Summary Portfolios'!$B$162*'[2]Fixed principal quarterly'!F15+'[2]Summary Portfolios'!$B$163*'[2]IO to Equal Qtrly calcs'!F15</f>
        <v>15201942.546064753</v>
      </c>
      <c r="H707" s="302">
        <f>'[2]Summary Portfolios'!$B$159*'[2]Level PMT calcs'!G15+'[2]Summary Portfolios'!$B$160*'[2]Balloon calcs'!G15+'[2]Summary Portfolios'!$B$161*'[2]Bullet calcs'!G15+'[2]Summary Portfolios'!$B$162*'[2]Fixed principal quarterly'!G15+'[2]Summary Portfolios'!$B$163*'[2]IO to Equal Qtrly calcs'!G15</f>
        <v>36087596.385304928</v>
      </c>
      <c r="I707" s="302">
        <f>'[2]Summary Portfolios'!$B$159*'[2]Level PMT calcs'!H15+'[2]Summary Portfolios'!$B$160*'[2]Balloon calcs'!H15+'[2]Summary Portfolios'!$B$161*'[2]Bullet calcs'!H15+'[2]Summary Portfolios'!$B$162*'[2]Fixed principal quarterly'!H15+'[2]Summary Portfolios'!$B$163*'[2]IO to Equal Qtrly calcs'!H15</f>
        <v>67232468.857059628</v>
      </c>
      <c r="J707" s="302">
        <f>'[2]Summary Portfolios'!$B$159*'[2]Level PMT calcs'!I15+'[2]Summary Portfolios'!$B$160*'[2]Balloon calcs'!I15+'[2]Summary Portfolios'!$B$161*'[2]Bullet calcs'!I15+'[2]Summary Portfolios'!$B$162*'[2]Fixed principal quarterly'!I15+'[2]Summary Portfolios'!$B$163*'[2]IO to Equal Qtrly calcs'!I15</f>
        <v>102648649.89583862</v>
      </c>
      <c r="K707" s="302">
        <f>'[2]Summary Portfolios'!$B$159*'[2]Level PMT calcs'!J15+'[2]Summary Portfolios'!$B$160*'[2]Balloon calcs'!J15+'[2]Summary Portfolios'!$B$161*'[2]Bullet calcs'!J15+'[2]Summary Portfolios'!$B$162*'[2]Fixed principal quarterly'!J15+'[2]Summary Portfolios'!$B$163*'[2]IO to Equal Qtrly calcs'!J15</f>
        <v>132444128.59653963</v>
      </c>
      <c r="L707" s="302">
        <f>'[2]Summary Portfolios'!$B$159*'[2]Level PMT calcs'!K15+'[2]Summary Portfolios'!$B$160*'[2]Balloon calcs'!K15+'[2]Summary Portfolios'!$B$161*'[2]Bullet calcs'!K15+'[2]Summary Portfolios'!$B$162*'[2]Fixed principal quarterly'!K15+'[2]Summary Portfolios'!$B$163*'[2]IO to Equal Qtrly calcs'!K15</f>
        <v>146418266.0044772</v>
      </c>
      <c r="M707" s="302">
        <f>'[2]Summary Portfolios'!$B$159*'[2]Level PMT calcs'!L15+'[2]Summary Portfolios'!$B$160*'[2]Balloon calcs'!L15+'[2]Summary Portfolios'!$B$161*'[2]Bullet calcs'!L15+'[2]Summary Portfolios'!$B$162*'[2]Fixed principal quarterly'!L15+'[2]Summary Portfolios'!$B$163*'[2]IO to Equal Qtrly calcs'!L15</f>
        <v>144896539.64733753</v>
      </c>
      <c r="O707" s="302">
        <f>SUM(D707:M707)</f>
        <v>649407591.95618534</v>
      </c>
    </row>
    <row r="708" spans="3:15" x14ac:dyDescent="0.2">
      <c r="C708" s="305" t="s">
        <v>552</v>
      </c>
      <c r="D708" s="302">
        <f>'[2]Delivery Platform'!$E$16*'[2]Program design'!E33</f>
        <v>0</v>
      </c>
      <c r="E708" s="302">
        <f>'[2]Delivery Platform'!$E$16*'[2]Program design'!F33</f>
        <v>0</v>
      </c>
      <c r="F708" s="302">
        <f>'[2]Delivery Platform'!$E$16*'[2]Program design'!G33</f>
        <v>0</v>
      </c>
      <c r="G708" s="302">
        <f>'[2]Delivery Platform'!$E$16*'[2]Program design'!H33</f>
        <v>0</v>
      </c>
      <c r="H708" s="302">
        <f>'[2]Delivery Platform'!$E$16*'[2]Program design'!I33</f>
        <v>0</v>
      </c>
      <c r="I708" s="302">
        <f>'[2]Delivery Platform'!$E$16*'[2]Program design'!J33</f>
        <v>0</v>
      </c>
      <c r="J708" s="302">
        <f>'[2]Delivery Platform'!$E$16*'[2]Program design'!K33</f>
        <v>0</v>
      </c>
      <c r="K708" s="302">
        <f>'[2]Delivery Platform'!$E$16*'[2]Program design'!L33</f>
        <v>0</v>
      </c>
      <c r="L708" s="302">
        <f>'[2]Delivery Platform'!$E$16*'[2]Program design'!M33</f>
        <v>0</v>
      </c>
      <c r="M708" s="302">
        <f>'[2]Delivery Platform'!$E$16*'[2]Program design'!N33</f>
        <v>0</v>
      </c>
      <c r="O708" s="302">
        <f>SUM(D708:M708)</f>
        <v>0</v>
      </c>
    </row>
    <row r="709" spans="3:15" x14ac:dyDescent="0.2">
      <c r="C709" s="300" t="s">
        <v>553</v>
      </c>
      <c r="D709" s="302">
        <f>'[2]Summary Portfolios'!$B$159*'[2]Level PMT calcs'!C21+'[2]Summary Portfolios'!$B$160*'[2]Balloon calcs'!C19+'[2]Summary Portfolios'!$B$161*'[2]Bullet calcs'!C19+'[2]Summary Portfolios'!$B$162*'[2]Fixed principal quarterly'!C19+'[2]Summary Portfolios'!$B$163*'[2]IO to Equal Qtrly calcs'!C19</f>
        <v>0</v>
      </c>
      <c r="E709" s="302">
        <f>'[2]Summary Portfolios'!$B$159*'[2]Level PMT calcs'!D21+'[2]Summary Portfolios'!$B$160*'[2]Balloon calcs'!D19+'[2]Summary Portfolios'!$B$161*'[2]Bullet calcs'!D19+'[2]Summary Portfolios'!$B$162*'[2]Fixed principal quarterly'!D19+'[2]Summary Portfolios'!$B$163*'[2]IO to Equal Qtrly calcs'!D19</f>
        <v>0</v>
      </c>
      <c r="F709" s="302">
        <f>'[2]Summary Portfolios'!$B$159*'[2]Level PMT calcs'!E21+'[2]Summary Portfolios'!$B$160*'[2]Balloon calcs'!E19+'[2]Summary Portfolios'!$B$161*'[2]Bullet calcs'!E19+'[2]Summary Portfolios'!$B$162*'[2]Fixed principal quarterly'!E19+'[2]Summary Portfolios'!$B$163*'[2]IO to Equal Qtrly calcs'!E19</f>
        <v>0</v>
      </c>
      <c r="G709" s="302">
        <f>'[2]Summary Portfolios'!$B$159*'[2]Level PMT calcs'!F21+'[2]Summary Portfolios'!$B$160*'[2]Balloon calcs'!F19+'[2]Summary Portfolios'!$B$161*'[2]Bullet calcs'!F19+'[2]Summary Portfolios'!$B$162*'[2]Fixed principal quarterly'!F19+'[2]Summary Portfolios'!$B$163*'[2]IO to Equal Qtrly calcs'!F19</f>
        <v>0</v>
      </c>
      <c r="H709" s="302">
        <f>'[2]Summary Portfolios'!$B$159*'[2]Level PMT calcs'!G21+'[2]Summary Portfolios'!$B$160*'[2]Balloon calcs'!G19+'[2]Summary Portfolios'!$B$161*'[2]Bullet calcs'!G19+'[2]Summary Portfolios'!$B$162*'[2]Fixed principal quarterly'!G19+'[2]Summary Portfolios'!$B$163*'[2]IO to Equal Qtrly calcs'!G19</f>
        <v>0</v>
      </c>
      <c r="I709" s="302">
        <f>'[2]Summary Portfolios'!$B$159*'[2]Level PMT calcs'!H21+'[2]Summary Portfolios'!$B$160*'[2]Balloon calcs'!H19+'[2]Summary Portfolios'!$B$161*'[2]Bullet calcs'!H19+'[2]Summary Portfolios'!$B$162*'[2]Fixed principal quarterly'!H19+'[2]Summary Portfolios'!$B$163*'[2]IO to Equal Qtrly calcs'!H19</f>
        <v>0</v>
      </c>
      <c r="J709" s="302">
        <f>'[2]Summary Portfolios'!$B$159*'[2]Level PMT calcs'!I21+'[2]Summary Portfolios'!$B$160*'[2]Balloon calcs'!I19+'[2]Summary Portfolios'!$B$161*'[2]Bullet calcs'!I19+'[2]Summary Portfolios'!$B$162*'[2]Fixed principal quarterly'!I19+'[2]Summary Portfolios'!$B$163*'[2]IO to Equal Qtrly calcs'!I19</f>
        <v>0</v>
      </c>
      <c r="K709" s="302">
        <f>'[2]Summary Portfolios'!$B$159*'[2]Level PMT calcs'!J21+'[2]Summary Portfolios'!$B$160*'[2]Balloon calcs'!J19+'[2]Summary Portfolios'!$B$161*'[2]Bullet calcs'!J19+'[2]Summary Portfolios'!$B$162*'[2]Fixed principal quarterly'!J19+'[2]Summary Portfolios'!$B$163*'[2]IO to Equal Qtrly calcs'!J19</f>
        <v>0</v>
      </c>
      <c r="L709" s="302">
        <f>'[2]Summary Portfolios'!$B$159*'[2]Level PMT calcs'!K21+'[2]Summary Portfolios'!$B$160*'[2]Balloon calcs'!K19+'[2]Summary Portfolios'!$B$161*'[2]Bullet calcs'!K19+'[2]Summary Portfolios'!$B$162*'[2]Fixed principal quarterly'!K19+'[2]Summary Portfolios'!$B$163*'[2]IO to Equal Qtrly calcs'!K19</f>
        <v>0</v>
      </c>
      <c r="M709" s="302">
        <f>'[2]Summary Portfolios'!$B$159*'[2]Level PMT calcs'!L21+'[2]Summary Portfolios'!$B$160*'[2]Balloon calcs'!L19+'[2]Summary Portfolios'!$B$161*'[2]Bullet calcs'!L19+'[2]Summary Portfolios'!$B$162*'[2]Fixed principal quarterly'!L19+'[2]Summary Portfolios'!$B$163*'[2]IO to Equal Qtrly calcs'!L19</f>
        <v>0</v>
      </c>
      <c r="O709" s="302">
        <f>SUM(D709:M709)</f>
        <v>0</v>
      </c>
    </row>
    <row r="710" spans="3:15" x14ac:dyDescent="0.2">
      <c r="C710" s="301" t="s">
        <v>554</v>
      </c>
      <c r="D710" s="304">
        <f t="shared" ref="D710:M710" si="40">SUM(D706:D709)</f>
        <v>1125000</v>
      </c>
      <c r="E710" s="304">
        <f t="shared" si="40"/>
        <v>1501165.0443484604</v>
      </c>
      <c r="F710" s="304">
        <f t="shared" si="40"/>
        <v>5294784.9792145602</v>
      </c>
      <c r="G710" s="304">
        <f t="shared" si="40"/>
        <v>16395801.546064753</v>
      </c>
      <c r="H710" s="304">
        <f t="shared" si="40"/>
        <v>37305332.565304928</v>
      </c>
      <c r="I710" s="304">
        <f t="shared" si="40"/>
        <v>68474559.760659635</v>
      </c>
      <c r="J710" s="304">
        <f t="shared" si="40"/>
        <v>103915582.61751062</v>
      </c>
      <c r="K710" s="304">
        <f t="shared" si="40"/>
        <v>133736399.97264507</v>
      </c>
      <c r="L710" s="304">
        <f t="shared" si="40"/>
        <v>147736382.80810475</v>
      </c>
      <c r="M710" s="304">
        <f t="shared" si="40"/>
        <v>146241018.78703761</v>
      </c>
      <c r="N710" s="306"/>
      <c r="O710" s="304">
        <f>SUM(D710:M710)</f>
        <v>661726028.08089042</v>
      </c>
    </row>
    <row r="711" spans="3:15" x14ac:dyDescent="0.2">
      <c r="C711" s="17"/>
      <c r="D711" s="307"/>
      <c r="E711" s="307"/>
      <c r="F711" s="307"/>
      <c r="G711" s="307"/>
      <c r="H711" s="307"/>
      <c r="I711" s="307"/>
      <c r="J711" s="307"/>
      <c r="K711" s="307"/>
      <c r="L711" s="307"/>
      <c r="M711" s="307"/>
      <c r="N711" s="308"/>
      <c r="O711" s="302"/>
    </row>
    <row r="712" spans="3:15" x14ac:dyDescent="0.2">
      <c r="C712" s="309" t="s">
        <v>555</v>
      </c>
      <c r="D712" s="302">
        <f>'[2]Summary Portfolios'!$B$159*'[2]Level PMT calcs'!C17</f>
        <v>0</v>
      </c>
      <c r="E712" s="302">
        <f>'[2]Summary Portfolios'!$B$159*'[2]Level PMT calcs'!D17</f>
        <v>0</v>
      </c>
      <c r="F712" s="302">
        <f>'[2]Summary Portfolios'!$B$159*'[2]Level PMT calcs'!E17</f>
        <v>0</v>
      </c>
      <c r="G712" s="302">
        <f>'[2]Summary Portfolios'!$B$159*'[2]Level PMT calcs'!F17</f>
        <v>0</v>
      </c>
      <c r="H712" s="302">
        <f>'[2]Summary Portfolios'!$B$159*'[2]Level PMT calcs'!G17</f>
        <v>0</v>
      </c>
      <c r="I712" s="302">
        <f>'[2]Summary Portfolios'!$B$159*'[2]Level PMT calcs'!H17</f>
        <v>0</v>
      </c>
      <c r="J712" s="302">
        <f>'[2]Summary Portfolios'!$B$159*'[2]Level PMT calcs'!I17</f>
        <v>0</v>
      </c>
      <c r="K712" s="302">
        <f>'[2]Summary Portfolios'!$B$159*'[2]Level PMT calcs'!J17</f>
        <v>0</v>
      </c>
      <c r="L712" s="302">
        <f>'[2]Summary Portfolios'!$B$159*'[2]Level PMT calcs'!K17</f>
        <v>0</v>
      </c>
      <c r="M712" s="302">
        <f>'[2]Summary Portfolios'!$B$159*'[2]Level PMT calcs'!L17</f>
        <v>0</v>
      </c>
      <c r="N712" s="308"/>
      <c r="O712" s="302">
        <f>SUM(D712:M712)</f>
        <v>0</v>
      </c>
    </row>
    <row r="713" spans="3:15" x14ac:dyDescent="0.2">
      <c r="C713" s="17"/>
      <c r="D713" s="307"/>
      <c r="E713" s="307"/>
      <c r="F713" s="307"/>
      <c r="G713" s="307"/>
      <c r="H713" s="307"/>
      <c r="I713" s="307"/>
      <c r="J713" s="307"/>
      <c r="K713" s="307"/>
      <c r="L713" s="307"/>
      <c r="M713" s="307"/>
      <c r="N713" s="308"/>
      <c r="O713" s="302"/>
    </row>
    <row r="714" spans="3:15" x14ac:dyDescent="0.2">
      <c r="C714" s="309" t="s">
        <v>556</v>
      </c>
      <c r="D714" s="304">
        <f t="shared" ref="D714:M714" si="41">D704-D710+D712</f>
        <v>1375000</v>
      </c>
      <c r="E714" s="304">
        <f t="shared" si="41"/>
        <v>6049336.093391154</v>
      </c>
      <c r="F714" s="304">
        <f t="shared" si="41"/>
        <v>20406594.848563548</v>
      </c>
      <c r="G714" s="304">
        <f t="shared" si="41"/>
        <v>24297042.126912136</v>
      </c>
      <c r="H714" s="304">
        <f t="shared" si="41"/>
        <v>21926895.676063545</v>
      </c>
      <c r="I714" s="304">
        <f t="shared" si="41"/>
        <v>1405649.6417171359</v>
      </c>
      <c r="J714" s="304">
        <f t="shared" si="41"/>
        <v>-16399704.675560683</v>
      </c>
      <c r="K714" s="304">
        <f t="shared" si="41"/>
        <v>-41663528.767904207</v>
      </c>
      <c r="L714" s="304">
        <f t="shared" si="41"/>
        <v>-43202173.381389886</v>
      </c>
      <c r="M714" s="304">
        <f t="shared" si="41"/>
        <v>-22343058.060583472</v>
      </c>
      <c r="N714" s="306"/>
      <c r="O714" s="304">
        <f>SUM(D714:M714)</f>
        <v>-48147946.498790726</v>
      </c>
    </row>
    <row r="716" spans="3:15" x14ac:dyDescent="0.2">
      <c r="C716" s="167" t="s">
        <v>557</v>
      </c>
      <c r="D716" s="167"/>
      <c r="E716" s="275"/>
      <c r="F716" s="275"/>
      <c r="G716" s="275"/>
      <c r="H716" s="275"/>
      <c r="I716" s="275"/>
      <c r="J716" s="275"/>
      <c r="K716" s="276"/>
      <c r="L716" s="167"/>
      <c r="M716" s="167"/>
      <c r="N716" s="167"/>
      <c r="O716" s="167"/>
    </row>
    <row r="718" spans="3:15" x14ac:dyDescent="0.2">
      <c r="C718" s="300" t="s">
        <v>558</v>
      </c>
      <c r="D718" s="302">
        <f>'[2]Summary Portfolios'!$B$159*'[2]Level PMT calcs'!C19+'[2]Summary Portfolios'!$B$160*'[2]Balloon calcs'!C17+'[2]Summary Portfolios'!$B$161*'[2]Bullet calcs'!C17+'[2]Summary Portfolios'!$B$162*'[2]Fixed principal quarterly'!C17+'[2]Summary Portfolios'!$B$163*'[2]IO to Equal Qtrly calcs'!C17</f>
        <v>0</v>
      </c>
      <c r="E718" s="302">
        <f>'[2]Summary Portfolios'!$B$159*'[2]Level PMT calcs'!D19+'[2]Summary Portfolios'!$B$160*'[2]Balloon calcs'!D17+'[2]Summary Portfolios'!$B$161*'[2]Bullet calcs'!D17+'[2]Summary Portfolios'!$B$162*'[2]Fixed principal quarterly'!D17+'[2]Summary Portfolios'!$B$163*'[2]IO to Equal Qtrly calcs'!D17</f>
        <v>0</v>
      </c>
      <c r="F718" s="302">
        <f>'[2]Summary Portfolios'!$B$159*'[2]Level PMT calcs'!E19+'[2]Summary Portfolios'!$B$160*'[2]Balloon calcs'!E17+'[2]Summary Portfolios'!$B$161*'[2]Bullet calcs'!E17+'[2]Summary Portfolios'!$B$162*'[2]Fixed principal quarterly'!E17+'[2]Summary Portfolios'!$B$163*'[2]IO to Equal Qtrly calcs'!E17</f>
        <v>0</v>
      </c>
      <c r="G718" s="302">
        <f>'[2]Summary Portfolios'!$B$159*'[2]Level PMT calcs'!F19+'[2]Summary Portfolios'!$B$160*'[2]Balloon calcs'!F17+'[2]Summary Portfolios'!$B$161*'[2]Bullet calcs'!F17+'[2]Summary Portfolios'!$B$162*'[2]Fixed principal quarterly'!F17+'[2]Summary Portfolios'!$B$163*'[2]IO to Equal Qtrly calcs'!F17</f>
        <v>0</v>
      </c>
      <c r="H718" s="302">
        <f>'[2]Summary Portfolios'!$B$159*'[2]Level PMT calcs'!G19+'[2]Summary Portfolios'!$B$160*'[2]Balloon calcs'!G17+'[2]Summary Portfolios'!$B$161*'[2]Bullet calcs'!G17+'[2]Summary Portfolios'!$B$162*'[2]Fixed principal quarterly'!G17+'[2]Summary Portfolios'!$B$163*'[2]IO to Equal Qtrly calcs'!G17</f>
        <v>0</v>
      </c>
      <c r="I718" s="302">
        <f>'[2]Summary Portfolios'!$B$159*'[2]Level PMT calcs'!H19+'[2]Summary Portfolios'!$B$160*'[2]Balloon calcs'!H17+'[2]Summary Portfolios'!$B$161*'[2]Bullet calcs'!H17+'[2]Summary Portfolios'!$B$162*'[2]Fixed principal quarterly'!H17+'[2]Summary Portfolios'!$B$163*'[2]IO to Equal Qtrly calcs'!H17</f>
        <v>0</v>
      </c>
      <c r="J718" s="302">
        <f>'[2]Summary Portfolios'!$B$159*'[2]Level PMT calcs'!I19+'[2]Summary Portfolios'!$B$160*'[2]Balloon calcs'!I17+'[2]Summary Portfolios'!$B$161*'[2]Bullet calcs'!I17+'[2]Summary Portfolios'!$B$162*'[2]Fixed principal quarterly'!I17+'[2]Summary Portfolios'!$B$163*'[2]IO to Equal Qtrly calcs'!I17</f>
        <v>0</v>
      </c>
      <c r="K718" s="302">
        <f>'[2]Summary Portfolios'!$B$159*'[2]Level PMT calcs'!J19+'[2]Summary Portfolios'!$B$160*'[2]Balloon calcs'!J17+'[2]Summary Portfolios'!$B$161*'[2]Bullet calcs'!J17+'[2]Summary Portfolios'!$B$162*'[2]Fixed principal quarterly'!J17+'[2]Summary Portfolios'!$B$163*'[2]IO to Equal Qtrly calcs'!J17</f>
        <v>0</v>
      </c>
      <c r="L718" s="302">
        <f>'[2]Summary Portfolios'!$B$159*'[2]Level PMT calcs'!K19+'[2]Summary Portfolios'!$B$160*'[2]Balloon calcs'!K17+'[2]Summary Portfolios'!$B$161*'[2]Bullet calcs'!K17+'[2]Summary Portfolios'!$B$162*'[2]Fixed principal quarterly'!K17+'[2]Summary Portfolios'!$B$163*'[2]IO to Equal Qtrly calcs'!K17</f>
        <v>0</v>
      </c>
      <c r="M718" s="302">
        <f>'[2]Summary Portfolios'!$B$159*'[2]Level PMT calcs'!L19+'[2]Summary Portfolios'!$B$160*'[2]Balloon calcs'!L17+'[2]Summary Portfolios'!$B$161*'[2]Bullet calcs'!L17+'[2]Summary Portfolios'!$B$162*'[2]Fixed principal quarterly'!L17+'[2]Summary Portfolios'!$B$163*'[2]IO to Equal Qtrly calcs'!L17</f>
        <v>0</v>
      </c>
    </row>
    <row r="719" spans="3:15" x14ac:dyDescent="0.2">
      <c r="C719" s="300" t="s">
        <v>559</v>
      </c>
      <c r="D719" s="302">
        <f>'[2]Summary Portfolios'!$B$159*'[2]Level PMT calcs'!C20+'[2]Summary Portfolios'!$B$160*'[2]Balloon calcs'!C18+'[2]Summary Portfolios'!$B$161*'[2]Bullet calcs'!C18+'[2]Summary Portfolios'!$B$162*'[2]Fixed principal quarterly'!C18+'[2]Summary Portfolios'!$B$163*'[2]IO to Equal Qtrly calcs'!C18</f>
        <v>0</v>
      </c>
      <c r="E719" s="302">
        <f>'[2]Summary Portfolios'!$B$159*'[2]Level PMT calcs'!D20+'[2]Summary Portfolios'!$B$160*'[2]Balloon calcs'!D18+'[2]Summary Portfolios'!$B$161*'[2]Bullet calcs'!D18+'[2]Summary Portfolios'!$B$162*'[2]Fixed principal quarterly'!D18+'[2]Summary Portfolios'!$B$163*'[2]IO to Equal Qtrly calcs'!D18</f>
        <v>0</v>
      </c>
      <c r="F719" s="302">
        <f>'[2]Summary Portfolios'!$B$159*'[2]Level PMT calcs'!E20+'[2]Summary Portfolios'!$B$160*'[2]Balloon calcs'!E18+'[2]Summary Portfolios'!$B$161*'[2]Bullet calcs'!E18+'[2]Summary Portfolios'!$B$162*'[2]Fixed principal quarterly'!E18+'[2]Summary Portfolios'!$B$163*'[2]IO to Equal Qtrly calcs'!E18</f>
        <v>0</v>
      </c>
      <c r="G719" s="302">
        <f>'[2]Summary Portfolios'!$B$159*'[2]Level PMT calcs'!F20+'[2]Summary Portfolios'!$B$160*'[2]Balloon calcs'!F18+'[2]Summary Portfolios'!$B$161*'[2]Bullet calcs'!F18+'[2]Summary Portfolios'!$B$162*'[2]Fixed principal quarterly'!F18+'[2]Summary Portfolios'!$B$163*'[2]IO to Equal Qtrly calcs'!F18</f>
        <v>0</v>
      </c>
      <c r="H719" s="302">
        <f>'[2]Summary Portfolios'!$B$159*'[2]Level PMT calcs'!G20+'[2]Summary Portfolios'!$B$160*'[2]Balloon calcs'!G18+'[2]Summary Portfolios'!$B$161*'[2]Bullet calcs'!G18+'[2]Summary Portfolios'!$B$162*'[2]Fixed principal quarterly'!G18+'[2]Summary Portfolios'!$B$163*'[2]IO to Equal Qtrly calcs'!G18</f>
        <v>0</v>
      </c>
      <c r="I719" s="302">
        <f>'[2]Summary Portfolios'!$B$159*'[2]Level PMT calcs'!H20+'[2]Summary Portfolios'!$B$160*'[2]Balloon calcs'!H18+'[2]Summary Portfolios'!$B$161*'[2]Bullet calcs'!H18+'[2]Summary Portfolios'!$B$162*'[2]Fixed principal quarterly'!H18+'[2]Summary Portfolios'!$B$163*'[2]IO to Equal Qtrly calcs'!H18</f>
        <v>0</v>
      </c>
      <c r="J719" s="302">
        <f>'[2]Summary Portfolios'!$B$159*'[2]Level PMT calcs'!I20+'[2]Summary Portfolios'!$B$160*'[2]Balloon calcs'!I18+'[2]Summary Portfolios'!$B$161*'[2]Bullet calcs'!I18+'[2]Summary Portfolios'!$B$162*'[2]Fixed principal quarterly'!I18+'[2]Summary Portfolios'!$B$163*'[2]IO to Equal Qtrly calcs'!I18</f>
        <v>0</v>
      </c>
      <c r="K719" s="302">
        <f>'[2]Summary Portfolios'!$B$159*'[2]Level PMT calcs'!J20+'[2]Summary Portfolios'!$B$160*'[2]Balloon calcs'!J18+'[2]Summary Portfolios'!$B$161*'[2]Bullet calcs'!J18+'[2]Summary Portfolios'!$B$162*'[2]Fixed principal quarterly'!J18+'[2]Summary Portfolios'!$B$163*'[2]IO to Equal Qtrly calcs'!J18</f>
        <v>0</v>
      </c>
      <c r="L719" s="302">
        <f>'[2]Summary Portfolios'!$B$159*'[2]Level PMT calcs'!K20+'[2]Summary Portfolios'!$B$160*'[2]Balloon calcs'!K18+'[2]Summary Portfolios'!$B$161*'[2]Bullet calcs'!K18+'[2]Summary Portfolios'!$B$162*'[2]Fixed principal quarterly'!K18+'[2]Summary Portfolios'!$B$163*'[2]IO to Equal Qtrly calcs'!K18</f>
        <v>0</v>
      </c>
      <c r="M719" s="302">
        <f>'[2]Summary Portfolios'!$B$159*'[2]Level PMT calcs'!L20+'[2]Summary Portfolios'!$B$160*'[2]Balloon calcs'!L18+'[2]Summary Portfolios'!$B$161*'[2]Bullet calcs'!L18+'[2]Summary Portfolios'!$B$162*'[2]Fixed principal quarterly'!L18+'[2]Summary Portfolios'!$B$163*'[2]IO to Equal Qtrly calcs'!L18</f>
        <v>0</v>
      </c>
    </row>
    <row r="720" spans="3:15" x14ac:dyDescent="0.2">
      <c r="C720" s="300" t="s">
        <v>560</v>
      </c>
      <c r="D720" s="302">
        <f>'[2]Summary Portfolios'!$B$159*'[2]Level PMT calcs'!C22+'[2]Summary Portfolios'!$B$160*'[2]Balloon calcs'!C20+'[2]Summary Portfolios'!$B$161*'[2]Bullet calcs'!C20+'[2]Summary Portfolios'!$B$162*'[2]Fixed principal quarterly'!C20+'[2]Summary Portfolios'!$B$163*'[2]IO to Equal Qtrly calcs'!C20</f>
        <v>0</v>
      </c>
      <c r="E720" s="302">
        <f>'[2]Summary Portfolios'!$B$159*'[2]Level PMT calcs'!D22+'[2]Summary Portfolios'!$B$160*'[2]Balloon calcs'!D20+'[2]Summary Portfolios'!$B$161*'[2]Bullet calcs'!D20+'[2]Summary Portfolios'!$B$162*'[2]Fixed principal quarterly'!D20+'[2]Summary Portfolios'!$B$163*'[2]IO to Equal Qtrly calcs'!D20</f>
        <v>0</v>
      </c>
      <c r="F720" s="302">
        <f>'[2]Summary Portfolios'!$B$159*'[2]Level PMT calcs'!E22+'[2]Summary Portfolios'!$B$160*'[2]Balloon calcs'!E20+'[2]Summary Portfolios'!$B$161*'[2]Bullet calcs'!E20+'[2]Summary Portfolios'!$B$162*'[2]Fixed principal quarterly'!E20+'[2]Summary Portfolios'!$B$163*'[2]IO to Equal Qtrly calcs'!E20</f>
        <v>0</v>
      </c>
      <c r="G720" s="302">
        <f>'[2]Summary Portfolios'!$B$159*'[2]Level PMT calcs'!F22+'[2]Summary Portfolios'!$B$160*'[2]Balloon calcs'!F20+'[2]Summary Portfolios'!$B$161*'[2]Bullet calcs'!F20+'[2]Summary Portfolios'!$B$162*'[2]Fixed principal quarterly'!F20+'[2]Summary Portfolios'!$B$163*'[2]IO to Equal Qtrly calcs'!F20</f>
        <v>0</v>
      </c>
      <c r="H720" s="302">
        <f>'[2]Summary Portfolios'!$B$159*'[2]Level PMT calcs'!G22+'[2]Summary Portfolios'!$B$160*'[2]Balloon calcs'!G20+'[2]Summary Portfolios'!$B$161*'[2]Bullet calcs'!G20+'[2]Summary Portfolios'!$B$162*'[2]Fixed principal quarterly'!G20+'[2]Summary Portfolios'!$B$163*'[2]IO to Equal Qtrly calcs'!G20</f>
        <v>0</v>
      </c>
      <c r="I720" s="302">
        <f>'[2]Summary Portfolios'!$B$159*'[2]Level PMT calcs'!H22+'[2]Summary Portfolios'!$B$160*'[2]Balloon calcs'!H20+'[2]Summary Portfolios'!$B$161*'[2]Bullet calcs'!H20+'[2]Summary Portfolios'!$B$162*'[2]Fixed principal quarterly'!H20+'[2]Summary Portfolios'!$B$163*'[2]IO to Equal Qtrly calcs'!H20</f>
        <v>0</v>
      </c>
      <c r="J720" s="302">
        <f>'[2]Summary Portfolios'!$B$159*'[2]Level PMT calcs'!I22+'[2]Summary Portfolios'!$B$160*'[2]Balloon calcs'!I20+'[2]Summary Portfolios'!$B$161*'[2]Bullet calcs'!I20+'[2]Summary Portfolios'!$B$162*'[2]Fixed principal quarterly'!I20+'[2]Summary Portfolios'!$B$163*'[2]IO to Equal Qtrly calcs'!I20</f>
        <v>0</v>
      </c>
      <c r="K720" s="302">
        <f>'[2]Summary Portfolios'!$B$159*'[2]Level PMT calcs'!J22+'[2]Summary Portfolios'!$B$160*'[2]Balloon calcs'!J20+'[2]Summary Portfolios'!$B$161*'[2]Bullet calcs'!J20+'[2]Summary Portfolios'!$B$162*'[2]Fixed principal quarterly'!J20+'[2]Summary Portfolios'!$B$163*'[2]IO to Equal Qtrly calcs'!J20</f>
        <v>0</v>
      </c>
      <c r="L720" s="302">
        <f>'[2]Summary Portfolios'!$B$159*'[2]Level PMT calcs'!K22+'[2]Summary Portfolios'!$B$160*'[2]Balloon calcs'!K20+'[2]Summary Portfolios'!$B$161*'[2]Bullet calcs'!K20+'[2]Summary Portfolios'!$B$162*'[2]Fixed principal quarterly'!K20+'[2]Summary Portfolios'!$B$163*'[2]IO to Equal Qtrly calcs'!K20</f>
        <v>0</v>
      </c>
      <c r="M720" s="302">
        <f>'[2]Summary Portfolios'!$B$159*'[2]Level PMT calcs'!L22+'[2]Summary Portfolios'!$B$160*'[2]Balloon calcs'!L20+'[2]Summary Portfolios'!$B$161*'[2]Bullet calcs'!L20+'[2]Summary Portfolios'!$B$162*'[2]Fixed principal quarterly'!L20+'[2]Summary Portfolios'!$B$163*'[2]IO to Equal Qtrly calcs'!L20</f>
        <v>0</v>
      </c>
    </row>
    <row r="721" spans="1:15" x14ac:dyDescent="0.2">
      <c r="D721" s="302"/>
      <c r="E721" s="302"/>
      <c r="F721" s="302"/>
      <c r="G721" s="302"/>
      <c r="H721" s="302"/>
      <c r="I721" s="302"/>
      <c r="J721" s="302"/>
      <c r="K721" s="302"/>
      <c r="L721" s="302"/>
      <c r="M721" s="302"/>
    </row>
    <row r="722" spans="1:15" x14ac:dyDescent="0.2">
      <c r="C722" s="300" t="s">
        <v>561</v>
      </c>
      <c r="D722" s="302">
        <f>'[2]Summary Portfolios'!$B$159*'[2]Level PMT calcs'!C24+'[2]Summary Portfolios'!$B$160*'[2]Balloon calcs'!C22+'[2]Summary Portfolios'!$B$161*'[2]Bullet calcs'!C22+'[2]Summary Portfolios'!$B$162*'[2]Fixed principal quarterly'!C22+'[2]Summary Portfolios'!$B$163*'[2]IO to Equal Qtrly calcs'!C22</f>
        <v>0</v>
      </c>
      <c r="E722" s="302">
        <f>'[2]Summary Portfolios'!$B$159*'[2]Level PMT calcs'!D24+'[2]Summary Portfolios'!$B$160*'[2]Balloon calcs'!D22+'[2]Summary Portfolios'!$B$161*'[2]Bullet calcs'!D22+'[2]Summary Portfolios'!$B$162*'[2]Fixed principal quarterly'!D22+'[2]Summary Portfolios'!$B$163*'[2]IO to Equal Qtrly calcs'!D22</f>
        <v>0</v>
      </c>
      <c r="F722" s="302">
        <f>'[2]Summary Portfolios'!$B$159*'[2]Level PMT calcs'!E24+'[2]Summary Portfolios'!$B$160*'[2]Balloon calcs'!E22+'[2]Summary Portfolios'!$B$161*'[2]Bullet calcs'!E22+'[2]Summary Portfolios'!$B$162*'[2]Fixed principal quarterly'!E22+'[2]Summary Portfolios'!$B$163*'[2]IO to Equal Qtrly calcs'!E22</f>
        <v>0</v>
      </c>
      <c r="G722" s="302">
        <f>'[2]Summary Portfolios'!$B$159*'[2]Level PMT calcs'!F24+'[2]Summary Portfolios'!$B$160*'[2]Balloon calcs'!F22+'[2]Summary Portfolios'!$B$161*'[2]Bullet calcs'!F22+'[2]Summary Portfolios'!$B$162*'[2]Fixed principal quarterly'!F22+'[2]Summary Portfolios'!$B$163*'[2]IO to Equal Qtrly calcs'!F22</f>
        <v>0</v>
      </c>
      <c r="H722" s="302">
        <f>'[2]Summary Portfolios'!$B$159*'[2]Level PMT calcs'!G24+'[2]Summary Portfolios'!$B$160*'[2]Balloon calcs'!G22+'[2]Summary Portfolios'!$B$161*'[2]Bullet calcs'!G22+'[2]Summary Portfolios'!$B$162*'[2]Fixed principal quarterly'!G22+'[2]Summary Portfolios'!$B$163*'[2]IO to Equal Qtrly calcs'!G22</f>
        <v>0</v>
      </c>
      <c r="I722" s="302">
        <f>'[2]Summary Portfolios'!$B$159*'[2]Level PMT calcs'!H24+'[2]Summary Portfolios'!$B$160*'[2]Balloon calcs'!H22+'[2]Summary Portfolios'!$B$161*'[2]Bullet calcs'!H22+'[2]Summary Portfolios'!$B$162*'[2]Fixed principal quarterly'!H22+'[2]Summary Portfolios'!$B$163*'[2]IO to Equal Qtrly calcs'!H22</f>
        <v>0</v>
      </c>
      <c r="J722" s="302">
        <f>'[2]Summary Portfolios'!$B$159*'[2]Level PMT calcs'!I24+'[2]Summary Portfolios'!$B$160*'[2]Balloon calcs'!I22+'[2]Summary Portfolios'!$B$161*'[2]Bullet calcs'!I22+'[2]Summary Portfolios'!$B$162*'[2]Fixed principal quarterly'!I22+'[2]Summary Portfolios'!$B$163*'[2]IO to Equal Qtrly calcs'!I22</f>
        <v>0</v>
      </c>
      <c r="K722" s="302">
        <f>'[2]Summary Portfolios'!$B$159*'[2]Level PMT calcs'!J24+'[2]Summary Portfolios'!$B$160*'[2]Balloon calcs'!J22+'[2]Summary Portfolios'!$B$161*'[2]Bullet calcs'!J22+'[2]Summary Portfolios'!$B$162*'[2]Fixed principal quarterly'!J22+'[2]Summary Portfolios'!$B$163*'[2]IO to Equal Qtrly calcs'!J22</f>
        <v>0</v>
      </c>
      <c r="L722" s="302">
        <f>'[2]Summary Portfolios'!$B$159*'[2]Level PMT calcs'!K24+'[2]Summary Portfolios'!$B$160*'[2]Balloon calcs'!K22+'[2]Summary Portfolios'!$B$161*'[2]Bullet calcs'!K22+'[2]Summary Portfolios'!$B$162*'[2]Fixed principal quarterly'!K22+'[2]Summary Portfolios'!$B$163*'[2]IO to Equal Qtrly calcs'!K22</f>
        <v>0</v>
      </c>
      <c r="M722" s="302">
        <f>'[2]Summary Portfolios'!$B$159*'[2]Level PMT calcs'!L24+'[2]Summary Portfolios'!$B$160*'[2]Balloon calcs'!L22+'[2]Summary Portfolios'!$B$161*'[2]Bullet calcs'!L22+'[2]Summary Portfolios'!$B$162*'[2]Fixed principal quarterly'!L22+'[2]Summary Portfolios'!$B$163*'[2]IO to Equal Qtrly calcs'!L22</f>
        <v>0</v>
      </c>
    </row>
    <row r="723" spans="1:15" x14ac:dyDescent="0.2">
      <c r="C723" s="300" t="s">
        <v>562</v>
      </c>
      <c r="D723" s="302">
        <f>'[2]Summary Portfolios'!$B$159*'[2]Level PMT calcs'!C25+'[2]Summary Portfolios'!$B$160*'[2]Balloon calcs'!C23+'[2]Summary Portfolios'!$B$161*'[2]Bullet calcs'!C23+'[2]Summary Portfolios'!$B$162*'[2]Fixed principal quarterly'!C23+'[2]Summary Portfolios'!$B$163*'[2]IO to Equal Qtrly calcs'!C23</f>
        <v>0</v>
      </c>
      <c r="E723" s="302">
        <f>'[2]Summary Portfolios'!$B$159*'[2]Level PMT calcs'!D25+'[2]Summary Portfolios'!$B$160*'[2]Balloon calcs'!D23+'[2]Summary Portfolios'!$B$161*'[2]Bullet calcs'!D23+'[2]Summary Portfolios'!$B$162*'[2]Fixed principal quarterly'!D23+'[2]Summary Portfolios'!$B$163*'[2]IO to Equal Qtrly calcs'!D23</f>
        <v>0</v>
      </c>
      <c r="F723" s="302">
        <f>'[2]Summary Portfolios'!$B$159*'[2]Level PMT calcs'!E25+'[2]Summary Portfolios'!$B$160*'[2]Balloon calcs'!E23+'[2]Summary Portfolios'!$B$161*'[2]Bullet calcs'!E23+'[2]Summary Portfolios'!$B$162*'[2]Fixed principal quarterly'!E23+'[2]Summary Portfolios'!$B$163*'[2]IO to Equal Qtrly calcs'!E23</f>
        <v>0</v>
      </c>
      <c r="G723" s="302">
        <f>'[2]Summary Portfolios'!$B$159*'[2]Level PMT calcs'!F25+'[2]Summary Portfolios'!$B$160*'[2]Balloon calcs'!F23+'[2]Summary Portfolios'!$B$161*'[2]Bullet calcs'!F23+'[2]Summary Portfolios'!$B$162*'[2]Fixed principal quarterly'!F23+'[2]Summary Portfolios'!$B$163*'[2]IO to Equal Qtrly calcs'!F23</f>
        <v>0</v>
      </c>
      <c r="H723" s="302">
        <f>'[2]Summary Portfolios'!$B$159*'[2]Level PMT calcs'!G25+'[2]Summary Portfolios'!$B$160*'[2]Balloon calcs'!G23+'[2]Summary Portfolios'!$B$161*'[2]Bullet calcs'!G23+'[2]Summary Portfolios'!$B$162*'[2]Fixed principal quarterly'!G23+'[2]Summary Portfolios'!$B$163*'[2]IO to Equal Qtrly calcs'!G23</f>
        <v>0</v>
      </c>
      <c r="I723" s="302">
        <f>'[2]Summary Portfolios'!$B$159*'[2]Level PMT calcs'!H25+'[2]Summary Portfolios'!$B$160*'[2]Balloon calcs'!H23+'[2]Summary Portfolios'!$B$161*'[2]Bullet calcs'!H23+'[2]Summary Portfolios'!$B$162*'[2]Fixed principal quarterly'!H23+'[2]Summary Portfolios'!$B$163*'[2]IO to Equal Qtrly calcs'!H23</f>
        <v>0</v>
      </c>
      <c r="J723" s="302">
        <f>'[2]Summary Portfolios'!$B$159*'[2]Level PMT calcs'!I25+'[2]Summary Portfolios'!$B$160*'[2]Balloon calcs'!I23+'[2]Summary Portfolios'!$B$161*'[2]Bullet calcs'!I23+'[2]Summary Portfolios'!$B$162*'[2]Fixed principal quarterly'!I23+'[2]Summary Portfolios'!$B$163*'[2]IO to Equal Qtrly calcs'!I23</f>
        <v>0</v>
      </c>
      <c r="K723" s="302">
        <f>'[2]Summary Portfolios'!$B$159*'[2]Level PMT calcs'!J25+'[2]Summary Portfolios'!$B$160*'[2]Balloon calcs'!J23+'[2]Summary Portfolios'!$B$161*'[2]Bullet calcs'!J23+'[2]Summary Portfolios'!$B$162*'[2]Fixed principal quarterly'!J23+'[2]Summary Portfolios'!$B$163*'[2]IO to Equal Qtrly calcs'!J23</f>
        <v>0</v>
      </c>
      <c r="L723" s="302">
        <f>'[2]Summary Portfolios'!$B$159*'[2]Level PMT calcs'!K25+'[2]Summary Portfolios'!$B$160*'[2]Balloon calcs'!K23+'[2]Summary Portfolios'!$B$161*'[2]Bullet calcs'!K23+'[2]Summary Portfolios'!$B$162*'[2]Fixed principal quarterly'!K23+'[2]Summary Portfolios'!$B$163*'[2]IO to Equal Qtrly calcs'!K23</f>
        <v>0</v>
      </c>
      <c r="M723" s="302">
        <f>'[2]Summary Portfolios'!$B$159*'[2]Level PMT calcs'!L25+'[2]Summary Portfolios'!$B$160*'[2]Balloon calcs'!L23+'[2]Summary Portfolios'!$B$161*'[2]Bullet calcs'!L23+'[2]Summary Portfolios'!$B$162*'[2]Fixed principal quarterly'!L23+'[2]Summary Portfolios'!$B$163*'[2]IO to Equal Qtrly calcs'!L23</f>
        <v>0</v>
      </c>
    </row>
    <row r="724" spans="1:15" x14ac:dyDescent="0.2">
      <c r="C724" s="300" t="s">
        <v>563</v>
      </c>
      <c r="D724" s="302">
        <f>'[2]Summary Portfolios'!$B$159*'[2]Level PMT calcs'!C26+'[2]Summary Portfolios'!$B$160*'[2]Balloon calcs'!C24+'[2]Summary Portfolios'!$B$161*'[2]Bullet calcs'!C24+'[2]Summary Portfolios'!$B$162*'[2]Fixed principal quarterly'!C24+'[2]Summary Portfolios'!$B$163*'[2]IO to Equal Qtrly calcs'!C24</f>
        <v>0</v>
      </c>
      <c r="E724" s="302">
        <f>'[2]Summary Portfolios'!$B$159*'[2]Level PMT calcs'!D26+'[2]Summary Portfolios'!$B$160*'[2]Balloon calcs'!D24+'[2]Summary Portfolios'!$B$161*'[2]Bullet calcs'!D24+'[2]Summary Portfolios'!$B$162*'[2]Fixed principal quarterly'!D24+'[2]Summary Portfolios'!$B$163*'[2]IO to Equal Qtrly calcs'!D24</f>
        <v>0</v>
      </c>
      <c r="F724" s="302">
        <f>'[2]Summary Portfolios'!$B$159*'[2]Level PMT calcs'!E26+'[2]Summary Portfolios'!$B$160*'[2]Balloon calcs'!E24+'[2]Summary Portfolios'!$B$161*'[2]Bullet calcs'!E24+'[2]Summary Portfolios'!$B$162*'[2]Fixed principal quarterly'!E24+'[2]Summary Portfolios'!$B$163*'[2]IO to Equal Qtrly calcs'!E24</f>
        <v>0</v>
      </c>
      <c r="G724" s="302">
        <f>'[2]Summary Portfolios'!$B$159*'[2]Level PMT calcs'!F26+'[2]Summary Portfolios'!$B$160*'[2]Balloon calcs'!F24+'[2]Summary Portfolios'!$B$161*'[2]Bullet calcs'!F24+'[2]Summary Portfolios'!$B$162*'[2]Fixed principal quarterly'!F24+'[2]Summary Portfolios'!$B$163*'[2]IO to Equal Qtrly calcs'!F24</f>
        <v>0</v>
      </c>
      <c r="H724" s="302">
        <f>'[2]Summary Portfolios'!$B$159*'[2]Level PMT calcs'!G26+'[2]Summary Portfolios'!$B$160*'[2]Balloon calcs'!G24+'[2]Summary Portfolios'!$B$161*'[2]Bullet calcs'!G24+'[2]Summary Portfolios'!$B$162*'[2]Fixed principal quarterly'!G24+'[2]Summary Portfolios'!$B$163*'[2]IO to Equal Qtrly calcs'!G24</f>
        <v>0</v>
      </c>
      <c r="I724" s="302">
        <f>'[2]Summary Portfolios'!$B$159*'[2]Level PMT calcs'!H26+'[2]Summary Portfolios'!$B$160*'[2]Balloon calcs'!H24+'[2]Summary Portfolios'!$B$161*'[2]Bullet calcs'!H24+'[2]Summary Portfolios'!$B$162*'[2]Fixed principal quarterly'!H24+'[2]Summary Portfolios'!$B$163*'[2]IO to Equal Qtrly calcs'!H24</f>
        <v>0</v>
      </c>
      <c r="J724" s="302">
        <f>'[2]Summary Portfolios'!$B$159*'[2]Level PMT calcs'!I26+'[2]Summary Portfolios'!$B$160*'[2]Balloon calcs'!I24+'[2]Summary Portfolios'!$B$161*'[2]Bullet calcs'!I24+'[2]Summary Portfolios'!$B$162*'[2]Fixed principal quarterly'!I24+'[2]Summary Portfolios'!$B$163*'[2]IO to Equal Qtrly calcs'!I24</f>
        <v>0</v>
      </c>
      <c r="K724" s="302">
        <f>'[2]Summary Portfolios'!$B$159*'[2]Level PMT calcs'!J26+'[2]Summary Portfolios'!$B$160*'[2]Balloon calcs'!J24+'[2]Summary Portfolios'!$B$161*'[2]Bullet calcs'!J24+'[2]Summary Portfolios'!$B$162*'[2]Fixed principal quarterly'!J24+'[2]Summary Portfolios'!$B$163*'[2]IO to Equal Qtrly calcs'!J24</f>
        <v>0</v>
      </c>
      <c r="L724" s="302">
        <f>'[2]Summary Portfolios'!$B$159*'[2]Level PMT calcs'!K26+'[2]Summary Portfolios'!$B$160*'[2]Balloon calcs'!K24+'[2]Summary Portfolios'!$B$161*'[2]Bullet calcs'!K24+'[2]Summary Portfolios'!$B$162*'[2]Fixed principal quarterly'!K24+'[2]Summary Portfolios'!$B$163*'[2]IO to Equal Qtrly calcs'!K24</f>
        <v>0</v>
      </c>
      <c r="M724" s="302">
        <f>'[2]Summary Portfolios'!$B$159*'[2]Level PMT calcs'!L26+'[2]Summary Portfolios'!$B$160*'[2]Balloon calcs'!L24+'[2]Summary Portfolios'!$B$161*'[2]Bullet calcs'!L24+'[2]Summary Portfolios'!$B$162*'[2]Fixed principal quarterly'!L24+'[2]Summary Portfolios'!$B$163*'[2]IO to Equal Qtrly calcs'!L24</f>
        <v>0</v>
      </c>
    </row>
    <row r="725" spans="1:15" x14ac:dyDescent="0.2">
      <c r="D725" s="302"/>
      <c r="E725" s="302"/>
      <c r="F725" s="302"/>
      <c r="G725" s="302"/>
      <c r="H725" s="302"/>
      <c r="I725" s="302"/>
      <c r="J725" s="302"/>
      <c r="K725" s="302"/>
      <c r="L725" s="302"/>
      <c r="M725" s="302"/>
    </row>
    <row r="726" spans="1:15" x14ac:dyDescent="0.2">
      <c r="C726" s="300" t="s">
        <v>564</v>
      </c>
      <c r="D726" s="302">
        <f>'[2]Summary Portfolios'!$B$159*'[2]Level PMT calcs'!C30+'[2]Summary Portfolios'!$B$160*'[2]Balloon calcs'!C26+'[2]Summary Portfolios'!$B$161*'[2]Bullet calcs'!C26+'[2]Summary Portfolios'!$B$162*'[2]Fixed principal quarterly'!C26+'[2]Summary Portfolios'!$B$163*'[2]IO to Equal Qtrly calcs'!C26</f>
        <v>0</v>
      </c>
      <c r="E726" s="302">
        <f>'[2]Summary Portfolios'!$B$159*'[2]Level PMT calcs'!D30+'[2]Summary Portfolios'!$B$160*'[2]Balloon calcs'!D26+'[2]Summary Portfolios'!$B$161*'[2]Bullet calcs'!D26+'[2]Summary Portfolios'!$B$162*'[2]Fixed principal quarterly'!D26+'[2]Summary Portfolios'!$B$163*'[2]IO to Equal Qtrly calcs'!D26</f>
        <v>270733.16794367239</v>
      </c>
      <c r="F726" s="302">
        <f>'[2]Summary Portfolios'!$B$159*'[2]Level PMT calcs'!E30+'[2]Summary Portfolios'!$B$160*'[2]Balloon calcs'!E26+'[2]Summary Portfolios'!$B$161*'[2]Bullet calcs'!E26+'[2]Summary Portfolios'!$B$162*'[2]Fixed principal quarterly'!E26+'[2]Summary Portfolios'!$B$163*'[2]IO to Equal Qtrly calcs'!E26</f>
        <v>3245995.1544940723</v>
      </c>
      <c r="G726" s="302">
        <f>'[2]Summary Portfolios'!$B$159*'[2]Level PMT calcs'!F30+'[2]Summary Portfolios'!$B$160*'[2]Balloon calcs'!F26+'[2]Summary Portfolios'!$B$161*'[2]Bullet calcs'!F26+'[2]Summary Portfolios'!$B$162*'[2]Fixed principal quarterly'!F26+'[2]Summary Portfolios'!$B$163*'[2]IO to Equal Qtrly calcs'!F26</f>
        <v>13226945.936238244</v>
      </c>
      <c r="H726" s="302">
        <f>'[2]Summary Portfolios'!$B$159*'[2]Level PMT calcs'!G30+'[2]Summary Portfolios'!$B$160*'[2]Balloon calcs'!G26+'[2]Summary Portfolios'!$B$161*'[2]Bullet calcs'!G26+'[2]Summary Portfolios'!$B$162*'[2]Fixed principal quarterly'!G26+'[2]Summary Portfolios'!$B$163*'[2]IO to Equal Qtrly calcs'!G26</f>
        <v>34234445.598465122</v>
      </c>
      <c r="I726" s="302">
        <f>'[2]Summary Portfolios'!$B$159*'[2]Level PMT calcs'!H30+'[2]Summary Portfolios'!$B$160*'[2]Balloon calcs'!H26+'[2]Summary Portfolios'!$B$161*'[2]Bullet calcs'!H26+'[2]Summary Portfolios'!$B$162*'[2]Fixed principal quarterly'!H26+'[2]Summary Portfolios'!$B$163*'[2]IO to Equal Qtrly calcs'!H26</f>
        <v>69000487.186724558</v>
      </c>
      <c r="J726" s="302">
        <f>'[2]Summary Portfolios'!$B$159*'[2]Level PMT calcs'!I30+'[2]Summary Portfolios'!$B$160*'[2]Balloon calcs'!I26+'[2]Summary Portfolios'!$B$161*'[2]Bullet calcs'!I26+'[2]Summary Portfolios'!$B$162*'[2]Fixed principal quarterly'!I26+'[2]Summary Portfolios'!$B$163*'[2]IO to Equal Qtrly calcs'!I26</f>
        <v>114465183.87130137</v>
      </c>
      <c r="K726" s="302">
        <f>'[2]Summary Portfolios'!$B$159*'[2]Level PMT calcs'!J30+'[2]Summary Portfolios'!$B$160*'[2]Balloon calcs'!J26+'[2]Summary Portfolios'!$B$161*'[2]Bullet calcs'!J26+'[2]Summary Portfolios'!$B$162*'[2]Fixed principal quarterly'!J26+'[2]Summary Portfolios'!$B$163*'[2]IO to Equal Qtrly calcs'!J26</f>
        <v>161846885.90255129</v>
      </c>
      <c r="L726" s="302">
        <f>'[2]Summary Portfolios'!$B$159*'[2]Level PMT calcs'!K30+'[2]Summary Portfolios'!$B$160*'[2]Balloon calcs'!K26+'[2]Summary Portfolios'!$B$161*'[2]Bullet calcs'!K26+'[2]Summary Portfolios'!$B$162*'[2]Fixed principal quarterly'!K26+'[2]Summary Portfolios'!$B$163*'[2]IO to Equal Qtrly calcs'!K26</f>
        <v>198710998.74336851</v>
      </c>
      <c r="M726" s="302">
        <f>'[2]Summary Portfolios'!$B$159*'[2]Level PMT calcs'!L30+'[2]Summary Portfolios'!$B$160*'[2]Balloon calcs'!L26+'[2]Summary Portfolios'!$B$161*'[2]Bullet calcs'!L26+'[2]Summary Portfolios'!$B$162*'[2]Fixed principal quarterly'!L26+'[2]Summary Portfolios'!$B$163*'[2]IO to Equal Qtrly calcs'!L26</f>
        <v>218652948.85003191</v>
      </c>
    </row>
    <row r="727" spans="1:15" ht="48" x14ac:dyDescent="0.2">
      <c r="C727" s="310" t="s">
        <v>595</v>
      </c>
      <c r="D727" s="302">
        <f>'M2'!D707+'M2'!D709-'M2'!D702-'M2'!D703-'M2'!D699</f>
        <v>0</v>
      </c>
      <c r="E727" s="302">
        <f>'M2'!E707+'M2'!E709-'M2'!E702-'M2'!E703-'M2'!E699</f>
        <v>303163.90660884546</v>
      </c>
      <c r="F727" s="302">
        <f>'M2'!F707+'M2'!F709-'M2'!F702-'M2'!F703-'M2'!F699</f>
        <v>3422955.1514364518</v>
      </c>
      <c r="G727" s="302">
        <f>'M2'!G707+'M2'!G709-'M2'!G702-'M2'!G703-'M2'!G699</f>
        <v>12009098.873087864</v>
      </c>
      <c r="H727" s="302">
        <f>'M2'!H707+'M2'!H709-'M2'!H702-'M2'!H703-'M2'!H699</f>
        <v>26855368.143936455</v>
      </c>
      <c r="I727" s="302">
        <f>'M2'!I707+'M2'!I709-'M2'!I702-'M2'!I703-'M2'!I699</f>
        <v>47352259.454682864</v>
      </c>
      <c r="J727" s="302">
        <f>'M2'!J707+'M2'!J709-'M2'!J702-'M2'!J703-'M2'!J699</f>
        <v>67632771.953888685</v>
      </c>
      <c r="K727" s="302">
        <f>'M2'!K707+'M2'!K709-'M2'!K702-'M2'!K703-'M2'!K699</f>
        <v>80371257.391798764</v>
      </c>
      <c r="L727" s="302">
        <f>'M2'!L707+'M2'!L709-'M2'!L702-'M2'!L703-'M2'!L699</f>
        <v>79384056.577762336</v>
      </c>
      <c r="M727" s="302">
        <f>'M2'!M707+'M2'!M709-'M2'!M702-'M2'!M703-'M2'!M699</f>
        <v>68498578.920883387</v>
      </c>
      <c r="O727" s="302">
        <f>SUM(D727:M727)</f>
        <v>385829510.37408566</v>
      </c>
    </row>
    <row r="728" spans="1:15" x14ac:dyDescent="0.2">
      <c r="D728" s="302"/>
      <c r="E728" s="302"/>
      <c r="F728" s="302"/>
      <c r="G728" s="302"/>
      <c r="H728" s="302"/>
      <c r="I728" s="302"/>
      <c r="J728" s="302"/>
      <c r="K728" s="302"/>
      <c r="L728" s="302"/>
      <c r="M728" s="302"/>
    </row>
    <row r="729" spans="1:15" x14ac:dyDescent="0.2">
      <c r="C729" s="305" t="s">
        <v>565</v>
      </c>
      <c r="D729" s="302">
        <f>'[2]Summary Portfolios'!$B$159*'[2]Level PMT calcs'!C34</f>
        <v>0</v>
      </c>
      <c r="E729" s="302">
        <f>'[2]Summary Portfolios'!$B$159*'[2]Level PMT calcs'!D34</f>
        <v>0</v>
      </c>
      <c r="F729" s="302">
        <f>'[2]Summary Portfolios'!$B$159*'[2]Level PMT calcs'!E34</f>
        <v>0</v>
      </c>
      <c r="G729" s="302">
        <f>'[2]Summary Portfolios'!$B$159*'[2]Level PMT calcs'!F34</f>
        <v>0</v>
      </c>
      <c r="H729" s="302">
        <f>'[2]Summary Portfolios'!$B$159*'[2]Level PMT calcs'!G34</f>
        <v>0</v>
      </c>
      <c r="I729" s="302">
        <f>'[2]Summary Portfolios'!$B$159*'[2]Level PMT calcs'!H34</f>
        <v>0</v>
      </c>
      <c r="J729" s="302">
        <f>'[2]Summary Portfolios'!$B$159*'[2]Level PMT calcs'!I34</f>
        <v>0</v>
      </c>
      <c r="K729" s="302">
        <f>'[2]Summary Portfolios'!$B$159*'[2]Level PMT calcs'!J34</f>
        <v>0</v>
      </c>
      <c r="L729" s="302">
        <f>'[2]Summary Portfolios'!$B$159*'[2]Level PMT calcs'!K34</f>
        <v>0</v>
      </c>
      <c r="M729" s="302">
        <f>'[2]Summary Portfolios'!$B$159*'[2]Level PMT calcs'!L34</f>
        <v>0</v>
      </c>
      <c r="O729" s="302">
        <f>SUM(D729:M729)</f>
        <v>0</v>
      </c>
    </row>
    <row r="730" spans="1:15" x14ac:dyDescent="0.2">
      <c r="C730" s="305" t="s">
        <v>566</v>
      </c>
      <c r="D730" s="302">
        <f>'[2]Summary Portfolios'!$B$159*'[2]Level PMT calcs'!C35</f>
        <v>0</v>
      </c>
      <c r="E730" s="302">
        <f>'[2]Summary Portfolios'!$B$159*'[2]Level PMT calcs'!D35</f>
        <v>0</v>
      </c>
      <c r="F730" s="302">
        <f>'[2]Summary Portfolios'!$B$159*'[2]Level PMT calcs'!E35</f>
        <v>0</v>
      </c>
      <c r="G730" s="302">
        <f>'[2]Summary Portfolios'!$B$159*'[2]Level PMT calcs'!F35</f>
        <v>0</v>
      </c>
      <c r="H730" s="302">
        <f>'[2]Summary Portfolios'!$B$159*'[2]Level PMT calcs'!G35</f>
        <v>0</v>
      </c>
      <c r="I730" s="302">
        <f>'[2]Summary Portfolios'!$B$159*'[2]Level PMT calcs'!H35</f>
        <v>0</v>
      </c>
      <c r="J730" s="302">
        <f>'[2]Summary Portfolios'!$B$159*'[2]Level PMT calcs'!I35</f>
        <v>0</v>
      </c>
      <c r="K730" s="302">
        <f>'[2]Summary Portfolios'!$B$159*'[2]Level PMT calcs'!J35</f>
        <v>0</v>
      </c>
      <c r="L730" s="302">
        <f>'[2]Summary Portfolios'!$B$159*'[2]Level PMT calcs'!K35</f>
        <v>0</v>
      </c>
      <c r="M730" s="302">
        <f>'[2]Summary Portfolios'!$B$159*'[2]Level PMT calcs'!L35</f>
        <v>0</v>
      </c>
      <c r="O730" s="302">
        <f>SUM(D730:M730)</f>
        <v>0</v>
      </c>
    </row>
    <row r="735" spans="1:15" x14ac:dyDescent="0.2">
      <c r="A735" s="153"/>
      <c r="B735" s="153"/>
      <c r="C735" s="408" t="s">
        <v>583</v>
      </c>
      <c r="D735" s="462"/>
      <c r="E735" s="425"/>
      <c r="F735" s="425"/>
      <c r="G735" s="425"/>
      <c r="H735" s="425"/>
      <c r="I735" s="425"/>
      <c r="J735" s="425"/>
      <c r="K735" s="425"/>
      <c r="L735" s="425"/>
      <c r="M735" s="425"/>
      <c r="N735" s="425"/>
      <c r="O735" s="425"/>
    </row>
    <row r="736" spans="1:15" x14ac:dyDescent="0.2">
      <c r="A736" s="153"/>
      <c r="B736" s="153"/>
      <c r="C736" s="462"/>
      <c r="D736" s="462"/>
      <c r="E736" s="425"/>
      <c r="F736" s="425"/>
      <c r="G736" s="425"/>
      <c r="H736" s="425"/>
      <c r="I736" s="425"/>
      <c r="J736" s="425"/>
      <c r="K736" s="425"/>
      <c r="L736" s="425"/>
      <c r="M736" s="425"/>
      <c r="N736" s="425"/>
      <c r="O736" s="425"/>
    </row>
    <row r="737" spans="3:15" x14ac:dyDescent="0.2">
      <c r="C737" s="14"/>
    </row>
    <row r="738" spans="3:15" x14ac:dyDescent="0.2">
      <c r="C738" s="311" t="s">
        <v>533</v>
      </c>
      <c r="D738" s="311"/>
      <c r="E738" s="311"/>
      <c r="F738" s="313"/>
      <c r="G738" s="313"/>
      <c r="H738" s="313"/>
      <c r="I738" s="313"/>
      <c r="J738" s="313"/>
      <c r="K738" s="312"/>
      <c r="L738" s="311"/>
      <c r="M738" s="311"/>
      <c r="N738" s="311"/>
      <c r="O738" s="311"/>
    </row>
    <row r="739" spans="3:15" x14ac:dyDescent="0.2">
      <c r="C739" s="14"/>
    </row>
    <row r="740" spans="3:15" x14ac:dyDescent="0.2">
      <c r="C740" s="300" t="s">
        <v>582</v>
      </c>
      <c r="D740" s="301">
        <f>'[2]Program design'!E31</f>
        <v>2016</v>
      </c>
      <c r="E740" s="301">
        <f>'[2]Program design'!F31</f>
        <v>2017</v>
      </c>
      <c r="F740" s="301">
        <f>'[2]Program design'!G31</f>
        <v>2018</v>
      </c>
      <c r="G740" s="301">
        <f>'[2]Program design'!H31</f>
        <v>2019</v>
      </c>
      <c r="H740" s="301">
        <f>'[2]Program design'!I31</f>
        <v>2020</v>
      </c>
      <c r="I740" s="301">
        <f>'[2]Program design'!J31</f>
        <v>2021</v>
      </c>
      <c r="J740" s="301">
        <f>'[2]Program design'!K31</f>
        <v>2022</v>
      </c>
      <c r="K740" s="301">
        <f>'[2]Program design'!L31</f>
        <v>2023</v>
      </c>
      <c r="L740" s="301">
        <f>'[2]Program design'!M31</f>
        <v>2024</v>
      </c>
      <c r="M740" s="301">
        <f>'[2]Program design'!N31</f>
        <v>2025</v>
      </c>
      <c r="O740" s="301" t="s">
        <v>581</v>
      </c>
    </row>
    <row r="741" spans="3:15" x14ac:dyDescent="0.2">
      <c r="C741" s="300" t="s">
        <v>580</v>
      </c>
      <c r="D741" s="302">
        <f>'[2]Program design'!E33</f>
        <v>125000000</v>
      </c>
      <c r="E741" s="302">
        <f>'[2]Program design'!F33</f>
        <v>375000000</v>
      </c>
      <c r="F741" s="302">
        <f>'[2]Program design'!G33</f>
        <v>1250000000</v>
      </c>
      <c r="G741" s="302">
        <f>'[2]Program design'!H33</f>
        <v>1875000000</v>
      </c>
      <c r="H741" s="302">
        <f>'[2]Program design'!I33</f>
        <v>2500000000</v>
      </c>
      <c r="I741" s="302">
        <f>'[2]Program design'!J33</f>
        <v>2500000000</v>
      </c>
      <c r="J741" s="302">
        <f>'[2]Program design'!K33</f>
        <v>2625000000</v>
      </c>
      <c r="K741" s="302">
        <f>'[2]Program design'!L33</f>
        <v>2000000000</v>
      </c>
      <c r="L741" s="302">
        <f>'[2]Program design'!M33</f>
        <v>1875000000</v>
      </c>
      <c r="M741" s="302">
        <f>'[2]Program design'!N33</f>
        <v>2375000000</v>
      </c>
      <c r="O741" s="302">
        <f>SUM(D741:M741)</f>
        <v>17500000000</v>
      </c>
    </row>
    <row r="742" spans="3:15" x14ac:dyDescent="0.2">
      <c r="C742" s="300" t="s">
        <v>579</v>
      </c>
      <c r="D742" s="302">
        <f>'[2]Program design'!E32</f>
        <v>500</v>
      </c>
      <c r="E742" s="302">
        <f>'[2]Program design'!F32</f>
        <v>1500</v>
      </c>
      <c r="F742" s="302">
        <f>'[2]Program design'!G32</f>
        <v>5000</v>
      </c>
      <c r="G742" s="302">
        <f>'[2]Program design'!H32</f>
        <v>7500</v>
      </c>
      <c r="H742" s="302">
        <f>'[2]Program design'!I32</f>
        <v>10000</v>
      </c>
      <c r="I742" s="302">
        <f>'[2]Program design'!J32</f>
        <v>10000</v>
      </c>
      <c r="J742" s="302">
        <f>'[2]Program design'!K32</f>
        <v>10500</v>
      </c>
      <c r="K742" s="302">
        <f>'[2]Program design'!L32</f>
        <v>8000</v>
      </c>
      <c r="L742" s="302">
        <f>'[2]Program design'!M32</f>
        <v>7500</v>
      </c>
      <c r="M742" s="302">
        <f>'[2]Program design'!N32</f>
        <v>9500</v>
      </c>
      <c r="O742" s="302">
        <f>SUM(D742:M742)</f>
        <v>70000</v>
      </c>
    </row>
    <row r="743" spans="3:15" x14ac:dyDescent="0.2">
      <c r="C743" s="300"/>
      <c r="D743" s="302"/>
      <c r="E743" s="302"/>
      <c r="F743" s="302"/>
      <c r="G743" s="302"/>
      <c r="H743" s="302"/>
      <c r="I743" s="302"/>
      <c r="J743" s="302"/>
      <c r="K743" s="302"/>
      <c r="L743" s="302"/>
      <c r="M743" s="302"/>
    </row>
    <row r="744" spans="3:15" x14ac:dyDescent="0.2">
      <c r="C744" s="300" t="s">
        <v>578</v>
      </c>
      <c r="D744" s="302">
        <f>'[2]Summary Portfolios'!$B$159*'[2]Level PMT calcs'!C81+'[2]Summary Portfolios'!$B$160*'[2]Balloon calcs'!C69+'[2]Summary Portfolios'!$B$161*'[2]Bullet calcs'!C69+'[2]Summary Portfolios'!$B$162*'[2]Fixed principal quarterly'!C69+'[2]Summary Portfolios'!$B$163*'[2]IO to Equal Qtrly calcs'!C69</f>
        <v>109997304.03966682</v>
      </c>
      <c r="E744" s="302">
        <f>'[2]Summary Portfolios'!$B$159*'[2]Level PMT calcs'!D81+'[2]Summary Portfolios'!$B$160*'[2]Balloon calcs'!D69+'[2]Summary Portfolios'!$B$161*'[2]Bullet calcs'!D69+'[2]Summary Portfolios'!$B$162*'[2]Fixed principal quarterly'!D69+'[2]Summary Portfolios'!$B$163*'[2]IO to Equal Qtrly calcs'!D69</f>
        <v>413475441.48646528</v>
      </c>
      <c r="F744" s="302">
        <f>'[2]Summary Portfolios'!$B$159*'[2]Level PMT calcs'!E81+'[2]Summary Portfolios'!$B$160*'[2]Balloon calcs'!E69+'[2]Summary Portfolios'!$B$161*'[2]Bullet calcs'!E69+'[2]Summary Portfolios'!$B$162*'[2]Fixed principal quarterly'!E69+'[2]Summary Portfolios'!$B$163*'[2]IO to Equal Qtrly calcs'!E69</f>
        <v>1408420576.7255445</v>
      </c>
      <c r="G744" s="302">
        <f>'[2]Summary Portfolios'!$B$159*'[2]Level PMT calcs'!F81+'[2]Summary Portfolios'!$B$160*'[2]Balloon calcs'!F69+'[2]Summary Portfolios'!$B$161*'[2]Bullet calcs'!F69+'[2]Summary Portfolios'!$B$162*'[2]Fixed principal quarterly'!F69+'[2]Summary Portfolios'!$B$163*'[2]IO to Equal Qtrly calcs'!F69</f>
        <v>2706343574.8667688</v>
      </c>
      <c r="H744" s="302">
        <f>'[2]Summary Portfolios'!$B$159*'[2]Level PMT calcs'!G81+'[2]Summary Portfolios'!$B$160*'[2]Balloon calcs'!G69+'[2]Summary Portfolios'!$B$161*'[2]Bullet calcs'!G69+'[2]Summary Portfolios'!$B$162*'[2]Fixed principal quarterly'!G69+'[2]Summary Portfolios'!$B$163*'[2]IO to Equal Qtrly calcs'!G69</f>
        <v>4177390901.3336387</v>
      </c>
      <c r="I744" s="302">
        <f>'[2]Summary Portfolios'!$B$159*'[2]Level PMT calcs'!H81+'[2]Summary Portfolios'!$B$160*'[2]Balloon calcs'!H69+'[2]Summary Portfolios'!$B$161*'[2]Bullet calcs'!H69+'[2]Summary Portfolios'!$B$162*'[2]Fixed principal quarterly'!H69+'[2]Summary Portfolios'!$B$163*'[2]IO to Equal Qtrly calcs'!H69</f>
        <v>5144941549.5938387</v>
      </c>
      <c r="J744" s="302">
        <f>'[2]Summary Portfolios'!$B$159*'[2]Level PMT calcs'!I81+'[2]Summary Portfolios'!$B$160*'[2]Balloon calcs'!I69+'[2]Summary Portfolios'!$B$161*'[2]Bullet calcs'!I69+'[2]Summary Portfolios'!$B$162*'[2]Fixed principal quarterly'!I69+'[2]Summary Portfolios'!$B$163*'[2]IO to Equal Qtrly calcs'!I69</f>
        <v>5763847578.4166946</v>
      </c>
      <c r="K744" s="302">
        <f>'[2]Summary Portfolios'!$B$159*'[2]Level PMT calcs'!J81+'[2]Summary Portfolios'!$B$160*'[2]Balloon calcs'!J69+'[2]Summary Portfolios'!$B$161*'[2]Bullet calcs'!J69+'[2]Summary Portfolios'!$B$162*'[2]Fixed principal quarterly'!J69+'[2]Summary Portfolios'!$B$163*'[2]IO to Equal Qtrly calcs'!J69</f>
        <v>5490447382.6110907</v>
      </c>
      <c r="L744" s="302">
        <f>'[2]Summary Portfolios'!$B$159*'[2]Level PMT calcs'!K81+'[2]Summary Portfolios'!$B$160*'[2]Balloon calcs'!K69+'[2]Summary Portfolios'!$B$161*'[2]Bullet calcs'!K69+'[2]Summary Portfolios'!$B$162*'[2]Fixed principal quarterly'!K69+'[2]Summary Portfolios'!$B$163*'[2]IO to Equal Qtrly calcs'!K69</f>
        <v>5053597957.8371286</v>
      </c>
      <c r="M744" s="302">
        <f>'[2]Summary Portfolios'!$B$159*'[2]Level PMT calcs'!L81+'[2]Summary Portfolios'!$B$160*'[2]Balloon calcs'!L69+'[2]Summary Portfolios'!$B$161*'[2]Bullet calcs'!L69+'[2]Summary Portfolios'!$B$162*'[2]Fixed principal quarterly'!L69+'[2]Summary Portfolios'!$B$163*'[2]IO to Equal Qtrly calcs'!L69</f>
        <v>5164725966.594429</v>
      </c>
    </row>
    <row r="745" spans="3:15" x14ac:dyDescent="0.2">
      <c r="C745" s="300" t="s">
        <v>596</v>
      </c>
      <c r="D745" s="302">
        <f>'[2]Summary Portfolios'!$B$159*'[2]Level PMT calcs'!C82+'[2]Summary Portfolios'!$B$160*'[2]Balloon calcs'!C70+'[2]Summary Portfolios'!$B$161*'[2]Bullet calcs'!C70+'[2]Summary Portfolios'!$B$162*'[2]Fixed principal quarterly'!C70+'[2]Summary Portfolios'!$B$163*'[2]IO to Equal Qtrly calcs'!C70</f>
        <v>496.88280273925778</v>
      </c>
      <c r="E745" s="302">
        <f>'[2]Summary Portfolios'!$B$159*'[2]Level PMT calcs'!D82+'[2]Summary Portfolios'!$B$160*'[2]Balloon calcs'!D70+'[2]Summary Portfolios'!$B$161*'[2]Bullet calcs'!D70+'[2]Summary Portfolios'!$B$162*'[2]Fixed principal quarterly'!D70+'[2]Summary Portfolios'!$B$163*'[2]IO to Equal Qtrly calcs'!D70</f>
        <v>1971.4609802482398</v>
      </c>
      <c r="F745" s="302">
        <f>'[2]Summary Portfolios'!$B$159*'[2]Level PMT calcs'!E82+'[2]Summary Portfolios'!$B$160*'[2]Balloon calcs'!E70+'[2]Summary Portfolios'!$B$161*'[2]Bullet calcs'!E70+'[2]Summary Portfolios'!$B$162*'[2]Fixed principal quarterly'!E70+'[2]Summary Portfolios'!$B$163*'[2]IO to Equal Qtrly calcs'!E70</f>
        <v>6875.0566337530563</v>
      </c>
      <c r="G745" s="302">
        <f>'[2]Summary Portfolios'!$B$159*'[2]Level PMT calcs'!F82+'[2]Summary Portfolios'!$B$160*'[2]Balloon calcs'!F70+'[2]Summary Portfolios'!$B$161*'[2]Bullet calcs'!F70+'[2]Summary Portfolios'!$B$162*'[2]Fixed principal quarterly'!F70+'[2]Summary Portfolios'!$B$163*'[2]IO to Equal Qtrly calcs'!F70</f>
        <v>14157.077116950135</v>
      </c>
      <c r="H745" s="302">
        <f>'[2]Summary Portfolios'!$B$159*'[2]Level PMT calcs'!G82+'[2]Summary Portfolios'!$B$160*'[2]Balloon calcs'!G70+'[2]Summary Portfolios'!$B$161*'[2]Bullet calcs'!G70+'[2]Summary Portfolios'!$B$162*'[2]Fixed principal quarterly'!G70+'[2]Summary Portfolios'!$B$163*'[2]IO to Equal Qtrly calcs'!G70</f>
        <v>23604.880933919227</v>
      </c>
      <c r="I745" s="302">
        <f>'[2]Summary Portfolios'!$B$159*'[2]Level PMT calcs'!H82+'[2]Summary Portfolios'!$B$160*'[2]Balloon calcs'!H70+'[2]Summary Portfolios'!$B$161*'[2]Bullet calcs'!H70+'[2]Summary Portfolios'!$B$162*'[2]Fixed principal quarterly'!H70+'[2]Summary Portfolios'!$B$163*'[2]IO to Equal Qtrly calcs'!H70</f>
        <v>32131.714998524509</v>
      </c>
      <c r="J745" s="302">
        <f>'[2]Summary Portfolios'!$B$159*'[2]Level PMT calcs'!I82+'[2]Summary Portfolios'!$B$160*'[2]Balloon calcs'!I70+'[2]Summary Portfolios'!$B$161*'[2]Bullet calcs'!I70+'[2]Summary Portfolios'!$B$162*'[2]Fixed principal quarterly'!I70+'[2]Summary Portfolios'!$B$163*'[2]IO to Equal Qtrly calcs'!I70</f>
        <v>39373.00849021248</v>
      </c>
      <c r="K745" s="302">
        <f>'[2]Summary Portfolios'!$B$159*'[2]Level PMT calcs'!J82+'[2]Summary Portfolios'!$B$160*'[2]Balloon calcs'!J70+'[2]Summary Portfolios'!$B$161*'[2]Bullet calcs'!J70+'[2]Summary Portfolios'!$B$162*'[2]Fixed principal quarterly'!J70+'[2]Summary Portfolios'!$B$163*'[2]IO to Equal Qtrly calcs'!J70</f>
        <v>41111.161674703319</v>
      </c>
      <c r="L745" s="302">
        <f>'[2]Summary Portfolios'!$B$159*'[2]Level PMT calcs'!K82+'[2]Summary Portfolios'!$B$160*'[2]Balloon calcs'!K70+'[2]Summary Portfolios'!$B$161*'[2]Bullet calcs'!K70+'[2]Summary Portfolios'!$B$162*'[2]Fixed principal quarterly'!K70+'[2]Summary Portfolios'!$B$163*'[2]IO to Equal Qtrly calcs'!K70</f>
        <v>40032.064994500659</v>
      </c>
      <c r="M745" s="302">
        <f>'[2]Summary Portfolios'!$B$159*'[2]Level PMT calcs'!L82+'[2]Summary Portfolios'!$B$160*'[2]Balloon calcs'!L70+'[2]Summary Portfolios'!$B$161*'[2]Bullet calcs'!L70+'[2]Summary Portfolios'!$B$162*'[2]Fixed principal quarterly'!L70+'[2]Summary Portfolios'!$B$163*'[2]IO to Equal Qtrly calcs'!L70</f>
        <v>39569.60218211481</v>
      </c>
    </row>
    <row r="746" spans="3:15" x14ac:dyDescent="0.2">
      <c r="C746" s="300"/>
      <c r="D746" s="302"/>
      <c r="E746" s="302"/>
      <c r="F746" s="302"/>
      <c r="G746" s="302"/>
      <c r="H746" s="302"/>
      <c r="I746" s="302"/>
      <c r="J746" s="302"/>
      <c r="K746" s="302"/>
      <c r="L746" s="302"/>
      <c r="M746" s="302"/>
    </row>
    <row r="747" spans="3:15" x14ac:dyDescent="0.2">
      <c r="C747" s="300" t="s">
        <v>577</v>
      </c>
      <c r="D747" s="302">
        <f>'[2]Summary Portfolios'!$B$159*'[2]Level PMT calcs'!C84+'[2]Summary Portfolios'!$B$160*'[2]Balloon calcs'!C72+'[2]Summary Portfolios'!$B$161*'[2]Bullet calcs'!C72+'[2]Summary Portfolios'!$B$162*'[2]Fixed principal quarterly'!C72+'[2]Summary Portfolios'!$B$163*'[2]IO to Equal Qtrly calcs'!C72</f>
        <v>14630780.93873122</v>
      </c>
      <c r="E747" s="302">
        <f>'[2]Summary Portfolios'!$B$159*'[2]Level PMT calcs'!D84+'[2]Summary Portfolios'!$B$160*'[2]Balloon calcs'!D72+'[2]Summary Portfolios'!$B$161*'[2]Bullet calcs'!D72+'[2]Summary Portfolios'!$B$162*'[2]Fixed principal quarterly'!D72+'[2]Summary Portfolios'!$B$163*'[2]IO to Equal Qtrly calcs'!D72</f>
        <v>67184701.848744303</v>
      </c>
      <c r="F747" s="302">
        <f>'[2]Summary Portfolios'!$B$159*'[2]Level PMT calcs'!E84+'[2]Summary Portfolios'!$B$160*'[2]Balloon calcs'!E72+'[2]Summary Portfolios'!$B$161*'[2]Bullet calcs'!E72+'[2]Summary Portfolios'!$B$162*'[2]Fixed principal quarterly'!E72+'[2]Summary Portfolios'!$B$163*'[2]IO to Equal Qtrly calcs'!E72</f>
        <v>239068464.97174424</v>
      </c>
      <c r="G747" s="302">
        <f>'[2]Summary Portfolios'!$B$159*'[2]Level PMT calcs'!F84+'[2]Summary Portfolios'!$B$160*'[2]Balloon calcs'!F72+'[2]Summary Portfolios'!$B$161*'[2]Bullet calcs'!F72+'[2]Summary Portfolios'!$B$162*'[2]Fixed principal quarterly'!F72+'[2]Summary Portfolios'!$B$163*'[2]IO to Equal Qtrly calcs'!F72</f>
        <v>539127197.64804554</v>
      </c>
      <c r="H747" s="302">
        <f>'[2]Summary Portfolios'!$B$159*'[2]Level PMT calcs'!G84+'[2]Summary Portfolios'!$B$160*'[2]Balloon calcs'!G72+'[2]Summary Portfolios'!$B$161*'[2]Bullet calcs'!G72+'[2]Summary Portfolios'!$B$162*'[2]Fixed principal quarterly'!G72+'[2]Summary Portfolios'!$B$163*'[2]IO to Equal Qtrly calcs'!G72</f>
        <v>958250845.61176634</v>
      </c>
      <c r="I747" s="302">
        <f>'[2]Summary Portfolios'!$B$159*'[2]Level PMT calcs'!H84+'[2]Summary Portfolios'!$B$160*'[2]Balloon calcs'!H72+'[2]Summary Portfolios'!$B$161*'[2]Bullet calcs'!H72+'[2]Summary Portfolios'!$B$162*'[2]Fixed principal quarterly'!H72+'[2]Summary Portfolios'!$B$163*'[2]IO to Equal Qtrly calcs'!H72</f>
        <v>1424503781.6206126</v>
      </c>
      <c r="J747" s="302">
        <f>'[2]Summary Portfolios'!$B$159*'[2]Level PMT calcs'!I84+'[2]Summary Portfolios'!$B$160*'[2]Balloon calcs'!I72+'[2]Summary Portfolios'!$B$161*'[2]Bullet calcs'!I72+'[2]Summary Portfolios'!$B$162*'[2]Fixed principal quarterly'!I72+'[2]Summary Portfolios'!$B$163*'[2]IO to Equal Qtrly calcs'!I72</f>
        <v>1866815403.1219366</v>
      </c>
      <c r="K747" s="302">
        <f>'[2]Summary Portfolios'!$B$159*'[2]Level PMT calcs'!J84+'[2]Summary Portfolios'!$B$160*'[2]Balloon calcs'!J72+'[2]Summary Portfolios'!$B$161*'[2]Bullet calcs'!J72+'[2]Summary Portfolios'!$B$162*'[2]Fixed principal quarterly'!J72+'[2]Summary Portfolios'!$B$163*'[2]IO to Equal Qtrly calcs'!J72</f>
        <v>2119426390.833456</v>
      </c>
      <c r="L747" s="302">
        <f>'[2]Summary Portfolios'!$B$159*'[2]Level PMT calcs'!K84+'[2]Summary Portfolios'!$B$160*'[2]Balloon calcs'!K72+'[2]Summary Portfolios'!$B$161*'[2]Bullet calcs'!K72+'[2]Summary Portfolios'!$B$162*'[2]Fixed principal quarterly'!K72+'[2]Summary Portfolios'!$B$163*'[2]IO to Equal Qtrly calcs'!K72</f>
        <v>2159475870.9434853</v>
      </c>
      <c r="M747" s="302">
        <f>'[2]Summary Portfolios'!$B$159*'[2]Level PMT calcs'!L84+'[2]Summary Portfolios'!$B$160*'[2]Balloon calcs'!L72+'[2]Summary Portfolios'!$B$161*'[2]Bullet calcs'!L72+'[2]Summary Portfolios'!$B$162*'[2]Fixed principal quarterly'!L72+'[2]Summary Portfolios'!$B$163*'[2]IO to Equal Qtrly calcs'!L72</f>
        <v>2116905200.0077097</v>
      </c>
      <c r="O747" s="302">
        <f>SUM(D747:M747)</f>
        <v>11505388637.54623</v>
      </c>
    </row>
    <row r="748" spans="3:15" x14ac:dyDescent="0.2">
      <c r="C748" s="300"/>
      <c r="D748" s="302"/>
      <c r="E748" s="302"/>
      <c r="F748" s="302"/>
      <c r="G748" s="302"/>
      <c r="H748" s="302"/>
      <c r="I748" s="302"/>
      <c r="J748" s="302"/>
      <c r="K748" s="302"/>
      <c r="L748" s="302"/>
      <c r="M748" s="302"/>
    </row>
    <row r="749" spans="3:15" x14ac:dyDescent="0.2">
      <c r="C749" s="300" t="s">
        <v>545</v>
      </c>
      <c r="D749" s="302">
        <f>'[2]Summary Portfolios'!$B$159*'[2]Level PMT calcs'!C86+'[2]Summary Portfolios'!$B$160*'[2]Balloon calcs'!C74+'[2]Summary Portfolios'!$B$161*'[2]Bullet calcs'!C74+'[2]Summary Portfolios'!$B$162*'[2]Fixed principal quarterly'!C74+'[2]Summary Portfolios'!$B$163*'[2]IO to Equal Qtrly calcs'!C74</f>
        <v>2920457.7647157367</v>
      </c>
      <c r="E749" s="302">
        <f>'[2]Summary Portfolios'!$B$159*'[2]Level PMT calcs'!D86+'[2]Summary Portfolios'!$B$160*'[2]Balloon calcs'!D74+'[2]Summary Portfolios'!$B$161*'[2]Bullet calcs'!D74+'[2]Summary Portfolios'!$B$162*'[2]Fixed principal quarterly'!D74+'[2]Summary Portfolios'!$B$163*'[2]IO to Equal Qtrly calcs'!D74</f>
        <v>13203310.209020557</v>
      </c>
      <c r="F749" s="302">
        <f>'[2]Summary Portfolios'!$B$159*'[2]Level PMT calcs'!E86+'[2]Summary Portfolios'!$B$160*'[2]Balloon calcs'!E74+'[2]Summary Portfolios'!$B$161*'[2]Bullet calcs'!E74+'[2]Summary Portfolios'!$B$162*'[2]Fixed principal quarterly'!E74+'[2]Summary Portfolios'!$B$163*'[2]IO to Equal Qtrly calcs'!E74</f>
        <v>48117525.262391195</v>
      </c>
      <c r="G749" s="302">
        <f>'[2]Summary Portfolios'!$B$159*'[2]Level PMT calcs'!F86+'[2]Summary Portfolios'!$B$160*'[2]Balloon calcs'!F74+'[2]Summary Portfolios'!$B$161*'[2]Bullet calcs'!F74+'[2]Summary Portfolios'!$B$162*'[2]Fixed principal quarterly'!F74+'[2]Summary Portfolios'!$B$163*'[2]IO to Equal Qtrly calcs'!F74</f>
        <v>123496618.72883943</v>
      </c>
      <c r="H749" s="302">
        <f>'[2]Summary Portfolios'!$B$159*'[2]Level PMT calcs'!G86+'[2]Summary Portfolios'!$B$160*'[2]Balloon calcs'!G74+'[2]Summary Portfolios'!$B$161*'[2]Bullet calcs'!G74+'[2]Summary Portfolios'!$B$162*'[2]Fixed principal quarterly'!G74+'[2]Summary Portfolios'!$B$163*'[2]IO to Equal Qtrly calcs'!G74</f>
        <v>219255419.52056479</v>
      </c>
      <c r="I749" s="302">
        <f>'[2]Summary Portfolios'!$B$159*'[2]Level PMT calcs'!H86+'[2]Summary Portfolios'!$B$160*'[2]Balloon calcs'!H74+'[2]Summary Portfolios'!$B$161*'[2]Bullet calcs'!H74+'[2]Summary Portfolios'!$B$162*'[2]Fixed principal quarterly'!H74+'[2]Summary Portfolios'!$B$163*'[2]IO to Equal Qtrly calcs'!H74</f>
        <v>272343648.73210037</v>
      </c>
      <c r="J749" s="302">
        <f>'[2]Summary Portfolios'!$B$159*'[2]Level PMT calcs'!I86+'[2]Summary Portfolios'!$B$160*'[2]Balloon calcs'!I74+'[2]Summary Portfolios'!$B$161*'[2]Bullet calcs'!I74+'[2]Summary Portfolios'!$B$162*'[2]Fixed principal quarterly'!I74+'[2]Summary Portfolios'!$B$163*'[2]IO to Equal Qtrly calcs'!I74</f>
        <v>297236230.18457699</v>
      </c>
      <c r="K749" s="302">
        <f>'[2]Summary Portfolios'!$B$159*'[2]Level PMT calcs'!J86+'[2]Summary Portfolios'!$B$160*'[2]Balloon calcs'!J74+'[2]Summary Portfolios'!$B$161*'[2]Bullet calcs'!J74+'[2]Summary Portfolios'!$B$162*'[2]Fixed principal quarterly'!J74+'[2]Summary Portfolios'!$B$163*'[2]IO to Equal Qtrly calcs'!J74</f>
        <v>291639858.70317125</v>
      </c>
      <c r="L749" s="302">
        <f>'[2]Summary Portfolios'!$B$159*'[2]Level PMT calcs'!K86+'[2]Summary Portfolios'!$B$160*'[2]Balloon calcs'!K74+'[2]Summary Portfolios'!$B$161*'[2]Bullet calcs'!K74+'[2]Summary Portfolios'!$B$162*'[2]Fixed principal quarterly'!K74+'[2]Summary Portfolios'!$B$163*'[2]IO to Equal Qtrly calcs'!K74</f>
        <v>284810155.45601368</v>
      </c>
      <c r="M749" s="302">
        <f>'[2]Summary Portfolios'!$B$159*'[2]Level PMT calcs'!L86+'[2]Summary Portfolios'!$B$160*'[2]Balloon calcs'!L74+'[2]Summary Portfolios'!$B$161*'[2]Bullet calcs'!L74+'[2]Summary Portfolios'!$B$162*'[2]Fixed principal quarterly'!L74+'[2]Summary Portfolios'!$B$163*'[2]IO to Equal Qtrly calcs'!L74</f>
        <v>308217582.97276187</v>
      </c>
      <c r="O749" s="302">
        <f>SUM(D749:M749)</f>
        <v>1861240807.5341558</v>
      </c>
    </row>
    <row r="750" spans="3:15" x14ac:dyDescent="0.2">
      <c r="C750" s="300"/>
      <c r="D750" s="302"/>
      <c r="E750" s="302"/>
      <c r="F750" s="302"/>
      <c r="G750" s="302"/>
      <c r="H750" s="302"/>
      <c r="I750" s="302"/>
      <c r="J750" s="302"/>
      <c r="K750" s="302"/>
      <c r="L750" s="302"/>
      <c r="M750" s="302"/>
    </row>
    <row r="751" spans="3:15" x14ac:dyDescent="0.2">
      <c r="C751" s="300" t="s">
        <v>576</v>
      </c>
      <c r="D751" s="302"/>
      <c r="E751" s="302"/>
      <c r="F751" s="302"/>
      <c r="G751" s="302"/>
      <c r="H751" s="302"/>
      <c r="I751" s="302"/>
      <c r="J751" s="302"/>
      <c r="K751" s="302"/>
      <c r="L751" s="302"/>
      <c r="M751" s="302"/>
    </row>
    <row r="752" spans="3:15" x14ac:dyDescent="0.2">
      <c r="C752" s="300" t="s">
        <v>1</v>
      </c>
      <c r="D752" s="302">
        <f>'[2]Summary Portfolios'!$B$159*'[2]Level PMT calcs'!C89+'[2]Summary Portfolios'!$B$160*'[2]Balloon calcs'!C77+'[2]Summary Portfolios'!$B$161*'[2]Bullet calcs'!C77+'[2]Summary Portfolios'!$B$162*'[2]Fixed principal quarterly'!C77+'[2]Summary Portfolios'!$B$163*'[2]IO to Equal Qtrly calcs'!C77</f>
        <v>3125000</v>
      </c>
      <c r="E752" s="302">
        <f>'[2]Summary Portfolios'!$B$159*'[2]Level PMT calcs'!D89+'[2]Summary Portfolios'!$B$160*'[2]Balloon calcs'!D77+'[2]Summary Portfolios'!$B$161*'[2]Bullet calcs'!D77+'[2]Summary Portfolios'!$B$162*'[2]Fixed principal quarterly'!D77+'[2]Summary Portfolios'!$B$163*'[2]IO to Equal Qtrly calcs'!D77</f>
        <v>9375000</v>
      </c>
      <c r="F752" s="302">
        <f>'[2]Summary Portfolios'!$B$159*'[2]Level PMT calcs'!E89+'[2]Summary Portfolios'!$B$160*'[2]Balloon calcs'!E77+'[2]Summary Portfolios'!$B$161*'[2]Bullet calcs'!E77+'[2]Summary Portfolios'!$B$162*'[2]Fixed principal quarterly'!E77+'[2]Summary Portfolios'!$B$163*'[2]IO to Equal Qtrly calcs'!E77</f>
        <v>31250000</v>
      </c>
      <c r="G752" s="302">
        <f>'[2]Summary Portfolios'!$B$159*'[2]Level PMT calcs'!F89+'[2]Summary Portfolios'!$B$160*'[2]Balloon calcs'!F77+'[2]Summary Portfolios'!$B$161*'[2]Bullet calcs'!F77+'[2]Summary Portfolios'!$B$162*'[2]Fixed principal quarterly'!F77+'[2]Summary Portfolios'!$B$163*'[2]IO to Equal Qtrly calcs'!F77</f>
        <v>46875000</v>
      </c>
      <c r="H752" s="302">
        <f>'[2]Summary Portfolios'!$B$159*'[2]Level PMT calcs'!G89+'[2]Summary Portfolios'!$B$160*'[2]Balloon calcs'!G77+'[2]Summary Portfolios'!$B$161*'[2]Bullet calcs'!G77+'[2]Summary Portfolios'!$B$162*'[2]Fixed principal quarterly'!G77+'[2]Summary Portfolios'!$B$163*'[2]IO to Equal Qtrly calcs'!G77</f>
        <v>62500000</v>
      </c>
      <c r="I752" s="302">
        <f>'[2]Summary Portfolios'!$B$159*'[2]Level PMT calcs'!H89+'[2]Summary Portfolios'!$B$160*'[2]Balloon calcs'!H77+'[2]Summary Portfolios'!$B$161*'[2]Bullet calcs'!H77+'[2]Summary Portfolios'!$B$162*'[2]Fixed principal quarterly'!H77+'[2]Summary Portfolios'!$B$163*'[2]IO to Equal Qtrly calcs'!H77</f>
        <v>62500000</v>
      </c>
      <c r="J752" s="302">
        <f>'[2]Summary Portfolios'!$B$159*'[2]Level PMT calcs'!I89+'[2]Summary Portfolios'!$B$160*'[2]Balloon calcs'!I77+'[2]Summary Portfolios'!$B$161*'[2]Bullet calcs'!I77+'[2]Summary Portfolios'!$B$162*'[2]Fixed principal quarterly'!I77+'[2]Summary Portfolios'!$B$163*'[2]IO to Equal Qtrly calcs'!I77</f>
        <v>65625000</v>
      </c>
      <c r="K752" s="302">
        <f>'[2]Summary Portfolios'!$B$159*'[2]Level PMT calcs'!J89+'[2]Summary Portfolios'!$B$160*'[2]Balloon calcs'!J77+'[2]Summary Portfolios'!$B$161*'[2]Bullet calcs'!J77+'[2]Summary Portfolios'!$B$162*'[2]Fixed principal quarterly'!J77+'[2]Summary Portfolios'!$B$163*'[2]IO to Equal Qtrly calcs'!J77</f>
        <v>50000000</v>
      </c>
      <c r="L752" s="302">
        <f>'[2]Summary Portfolios'!$B$159*'[2]Level PMT calcs'!K89+'[2]Summary Portfolios'!$B$160*'[2]Balloon calcs'!K77+'[2]Summary Portfolios'!$B$161*'[2]Bullet calcs'!K77+'[2]Summary Portfolios'!$B$162*'[2]Fixed principal quarterly'!K77+'[2]Summary Portfolios'!$B$163*'[2]IO to Equal Qtrly calcs'!K77</f>
        <v>46875000</v>
      </c>
      <c r="M752" s="302">
        <f>'[2]Summary Portfolios'!$B$159*'[2]Level PMT calcs'!L89+'[2]Summary Portfolios'!$B$160*'[2]Balloon calcs'!L77+'[2]Summary Portfolios'!$B$161*'[2]Bullet calcs'!L77+'[2]Summary Portfolios'!$B$162*'[2]Fixed principal quarterly'!L77+'[2]Summary Portfolios'!$B$163*'[2]IO to Equal Qtrly calcs'!L77</f>
        <v>59375000</v>
      </c>
      <c r="O752" s="302">
        <f>SUM(D752:M752)</f>
        <v>437500000</v>
      </c>
    </row>
    <row r="753" spans="3:15" x14ac:dyDescent="0.2">
      <c r="C753" s="300" t="s">
        <v>476</v>
      </c>
      <c r="D753" s="302">
        <f>'[2]Summary Portfolios'!$B$159*'[2]Level PMT calcs'!C90+'[2]Summary Portfolios'!$B$160*'[2]Balloon calcs'!C78+'[2]Summary Portfolios'!$B$161*'[2]Bullet calcs'!C78+'[2]Summary Portfolios'!$B$162*'[2]Fixed principal quarterly'!C78+'[2]Summary Portfolios'!$B$163*'[2]IO to Equal Qtrly calcs'!C78</f>
        <v>0</v>
      </c>
      <c r="E753" s="302">
        <f>'[2]Summary Portfolios'!$B$159*'[2]Level PMT calcs'!D90+'[2]Summary Portfolios'!$B$160*'[2]Balloon calcs'!D78+'[2]Summary Portfolios'!$B$161*'[2]Bullet calcs'!D78+'[2]Summary Portfolios'!$B$162*'[2]Fixed principal quarterly'!D78+'[2]Summary Portfolios'!$B$163*'[2]IO to Equal Qtrly calcs'!D78</f>
        <v>0</v>
      </c>
      <c r="F753" s="302">
        <f>'[2]Summary Portfolios'!$B$159*'[2]Level PMT calcs'!E90+'[2]Summary Portfolios'!$B$160*'[2]Balloon calcs'!E78+'[2]Summary Portfolios'!$B$161*'[2]Bullet calcs'!E78+'[2]Summary Portfolios'!$B$162*'[2]Fixed principal quarterly'!E78+'[2]Summary Portfolios'!$B$163*'[2]IO to Equal Qtrly calcs'!E78</f>
        <v>0</v>
      </c>
      <c r="G753" s="302">
        <f>'[2]Summary Portfolios'!$B$159*'[2]Level PMT calcs'!F90+'[2]Summary Portfolios'!$B$160*'[2]Balloon calcs'!F78+'[2]Summary Portfolios'!$B$161*'[2]Bullet calcs'!F78+'[2]Summary Portfolios'!$B$162*'[2]Fixed principal quarterly'!F78+'[2]Summary Portfolios'!$B$163*'[2]IO to Equal Qtrly calcs'!F78</f>
        <v>0</v>
      </c>
      <c r="H753" s="302">
        <f>'[2]Summary Portfolios'!$B$159*'[2]Level PMT calcs'!G90+'[2]Summary Portfolios'!$B$160*'[2]Balloon calcs'!G78+'[2]Summary Portfolios'!$B$161*'[2]Bullet calcs'!G78+'[2]Summary Portfolios'!$B$162*'[2]Fixed principal quarterly'!G78+'[2]Summary Portfolios'!$B$163*'[2]IO to Equal Qtrly calcs'!G78</f>
        <v>0</v>
      </c>
      <c r="I753" s="302">
        <f>'[2]Summary Portfolios'!$B$159*'[2]Level PMT calcs'!H90+'[2]Summary Portfolios'!$B$160*'[2]Balloon calcs'!H78+'[2]Summary Portfolios'!$B$161*'[2]Bullet calcs'!H78+'[2]Summary Portfolios'!$B$162*'[2]Fixed principal quarterly'!H78+'[2]Summary Portfolios'!$B$163*'[2]IO to Equal Qtrly calcs'!H78</f>
        <v>0</v>
      </c>
      <c r="J753" s="302">
        <f>'[2]Summary Portfolios'!$B$159*'[2]Level PMT calcs'!I90+'[2]Summary Portfolios'!$B$160*'[2]Balloon calcs'!I78+'[2]Summary Portfolios'!$B$161*'[2]Bullet calcs'!I78+'[2]Summary Portfolios'!$B$162*'[2]Fixed principal quarterly'!I78+'[2]Summary Portfolios'!$B$163*'[2]IO to Equal Qtrly calcs'!I78</f>
        <v>0</v>
      </c>
      <c r="K753" s="302">
        <f>'[2]Summary Portfolios'!$B$159*'[2]Level PMT calcs'!J90+'[2]Summary Portfolios'!$B$160*'[2]Balloon calcs'!J78+'[2]Summary Portfolios'!$B$161*'[2]Bullet calcs'!J78+'[2]Summary Portfolios'!$B$162*'[2]Fixed principal quarterly'!J78+'[2]Summary Portfolios'!$B$163*'[2]IO to Equal Qtrly calcs'!J78</f>
        <v>0</v>
      </c>
      <c r="L753" s="302">
        <f>'[2]Summary Portfolios'!$B$159*'[2]Level PMT calcs'!K90+'[2]Summary Portfolios'!$B$160*'[2]Balloon calcs'!K78+'[2]Summary Portfolios'!$B$161*'[2]Bullet calcs'!K78+'[2]Summary Portfolios'!$B$162*'[2]Fixed principal quarterly'!K78+'[2]Summary Portfolios'!$B$163*'[2]IO to Equal Qtrly calcs'!K78</f>
        <v>0</v>
      </c>
      <c r="M753" s="302">
        <f>'[2]Summary Portfolios'!$B$159*'[2]Level PMT calcs'!L90+'[2]Summary Portfolios'!$B$160*'[2]Balloon calcs'!L78+'[2]Summary Portfolios'!$B$161*'[2]Bullet calcs'!L78+'[2]Summary Portfolios'!$B$162*'[2]Fixed principal quarterly'!L78+'[2]Summary Portfolios'!$B$163*'[2]IO to Equal Qtrly calcs'!L78</f>
        <v>0</v>
      </c>
      <c r="O753" s="302">
        <f>SUM(D753:M753)</f>
        <v>0</v>
      </c>
    </row>
    <row r="754" spans="3:15" x14ac:dyDescent="0.2">
      <c r="C754" s="300" t="s">
        <v>479</v>
      </c>
      <c r="D754" s="302">
        <f>'[2]Summary Portfolios'!$B$159*'[2]Level PMT calcs'!C91+'[2]Summary Portfolios'!$B$160*'[2]Balloon calcs'!C79+'[2]Summary Portfolios'!$B$161*'[2]Bullet calcs'!C79+'[2]Summary Portfolios'!$B$162*'[2]Fixed principal quarterly'!C79+'[2]Summary Portfolios'!$B$163*'[2]IO to Equal Qtrly calcs'!C79</f>
        <v>0</v>
      </c>
      <c r="E754" s="302">
        <f>'[2]Summary Portfolios'!$B$159*'[2]Level PMT calcs'!D91+'[2]Summary Portfolios'!$B$160*'[2]Balloon calcs'!D79+'[2]Summary Portfolios'!$B$161*'[2]Bullet calcs'!D79+'[2]Summary Portfolios'!$B$162*'[2]Fixed principal quarterly'!D79+'[2]Summary Portfolios'!$B$163*'[2]IO to Equal Qtrly calcs'!D79</f>
        <v>0</v>
      </c>
      <c r="F754" s="302">
        <f>'[2]Summary Portfolios'!$B$159*'[2]Level PMT calcs'!E91+'[2]Summary Portfolios'!$B$160*'[2]Balloon calcs'!E79+'[2]Summary Portfolios'!$B$161*'[2]Bullet calcs'!E79+'[2]Summary Portfolios'!$B$162*'[2]Fixed principal quarterly'!E79+'[2]Summary Portfolios'!$B$163*'[2]IO to Equal Qtrly calcs'!E79</f>
        <v>0</v>
      </c>
      <c r="G754" s="302">
        <f>'[2]Summary Portfolios'!$B$159*'[2]Level PMT calcs'!F91+'[2]Summary Portfolios'!$B$160*'[2]Balloon calcs'!F79+'[2]Summary Portfolios'!$B$161*'[2]Bullet calcs'!F79+'[2]Summary Portfolios'!$B$162*'[2]Fixed principal quarterly'!F79+'[2]Summary Portfolios'!$B$163*'[2]IO to Equal Qtrly calcs'!F79</f>
        <v>0</v>
      </c>
      <c r="H754" s="302">
        <f>'[2]Summary Portfolios'!$B$159*'[2]Level PMT calcs'!G91+'[2]Summary Portfolios'!$B$160*'[2]Balloon calcs'!G79+'[2]Summary Portfolios'!$B$161*'[2]Bullet calcs'!G79+'[2]Summary Portfolios'!$B$162*'[2]Fixed principal quarterly'!G79+'[2]Summary Portfolios'!$B$163*'[2]IO to Equal Qtrly calcs'!G79</f>
        <v>0</v>
      </c>
      <c r="I754" s="302">
        <f>'[2]Summary Portfolios'!$B$159*'[2]Level PMT calcs'!H91+'[2]Summary Portfolios'!$B$160*'[2]Balloon calcs'!H79+'[2]Summary Portfolios'!$B$161*'[2]Bullet calcs'!H79+'[2]Summary Portfolios'!$B$162*'[2]Fixed principal quarterly'!H79+'[2]Summary Portfolios'!$B$163*'[2]IO to Equal Qtrly calcs'!H79</f>
        <v>0</v>
      </c>
      <c r="J754" s="302">
        <f>'[2]Summary Portfolios'!$B$159*'[2]Level PMT calcs'!I91+'[2]Summary Portfolios'!$B$160*'[2]Balloon calcs'!I79+'[2]Summary Portfolios'!$B$161*'[2]Bullet calcs'!I79+'[2]Summary Portfolios'!$B$162*'[2]Fixed principal quarterly'!I79+'[2]Summary Portfolios'!$B$163*'[2]IO to Equal Qtrly calcs'!I79</f>
        <v>0</v>
      </c>
      <c r="K754" s="302">
        <f>'[2]Summary Portfolios'!$B$159*'[2]Level PMT calcs'!J91+'[2]Summary Portfolios'!$B$160*'[2]Balloon calcs'!J79+'[2]Summary Portfolios'!$B$161*'[2]Bullet calcs'!J79+'[2]Summary Portfolios'!$B$162*'[2]Fixed principal quarterly'!J79+'[2]Summary Portfolios'!$B$163*'[2]IO to Equal Qtrly calcs'!J79</f>
        <v>0</v>
      </c>
      <c r="L754" s="302">
        <f>'[2]Summary Portfolios'!$B$159*'[2]Level PMT calcs'!K91+'[2]Summary Portfolios'!$B$160*'[2]Balloon calcs'!K79+'[2]Summary Portfolios'!$B$161*'[2]Bullet calcs'!K79+'[2]Summary Portfolios'!$B$162*'[2]Fixed principal quarterly'!K79+'[2]Summary Portfolios'!$B$163*'[2]IO to Equal Qtrly calcs'!K79</f>
        <v>0</v>
      </c>
      <c r="M754" s="302">
        <f>'[2]Summary Portfolios'!$B$159*'[2]Level PMT calcs'!L91+'[2]Summary Portfolios'!$B$160*'[2]Balloon calcs'!L79+'[2]Summary Portfolios'!$B$161*'[2]Bullet calcs'!L79+'[2]Summary Portfolios'!$B$162*'[2]Fixed principal quarterly'!L79+'[2]Summary Portfolios'!$B$163*'[2]IO to Equal Qtrly calcs'!L79</f>
        <v>0</v>
      </c>
      <c r="O754" s="302">
        <f>SUM(D754:M754)</f>
        <v>0</v>
      </c>
    </row>
    <row r="755" spans="3:15" x14ac:dyDescent="0.2">
      <c r="C755" s="300" t="s">
        <v>480</v>
      </c>
      <c r="D755" s="302">
        <f>'[2]Summary Portfolios'!$B$159*'[2]Level PMT calcs'!C92+'[2]Summary Portfolios'!$B$160*'[2]Balloon calcs'!C80+'[2]Summary Portfolios'!$B$161*'[2]Bullet calcs'!C80+'[2]Summary Portfolios'!$B$162*'[2]Fixed principal quarterly'!C80+'[2]Summary Portfolios'!$B$163*'[2]IO to Equal Qtrly calcs'!C80</f>
        <v>0</v>
      </c>
      <c r="E755" s="302">
        <f>'[2]Summary Portfolios'!$B$159*'[2]Level PMT calcs'!D92+'[2]Summary Portfolios'!$B$160*'[2]Balloon calcs'!D80+'[2]Summary Portfolios'!$B$161*'[2]Bullet calcs'!D80+'[2]Summary Portfolios'!$B$162*'[2]Fixed principal quarterly'!D80+'[2]Summary Portfolios'!$B$163*'[2]IO to Equal Qtrly calcs'!D80</f>
        <v>0</v>
      </c>
      <c r="F755" s="302">
        <f>'[2]Summary Portfolios'!$B$159*'[2]Level PMT calcs'!E92+'[2]Summary Portfolios'!$B$160*'[2]Balloon calcs'!E80+'[2]Summary Portfolios'!$B$161*'[2]Bullet calcs'!E80+'[2]Summary Portfolios'!$B$162*'[2]Fixed principal quarterly'!E80+'[2]Summary Portfolios'!$B$163*'[2]IO to Equal Qtrly calcs'!E80</f>
        <v>0</v>
      </c>
      <c r="G755" s="302">
        <f>'[2]Summary Portfolios'!$B$159*'[2]Level PMT calcs'!F92+'[2]Summary Portfolios'!$B$160*'[2]Balloon calcs'!F80+'[2]Summary Portfolios'!$B$161*'[2]Bullet calcs'!F80+'[2]Summary Portfolios'!$B$162*'[2]Fixed principal quarterly'!F80+'[2]Summary Portfolios'!$B$163*'[2]IO to Equal Qtrly calcs'!F80</f>
        <v>0</v>
      </c>
      <c r="H755" s="302">
        <f>'[2]Summary Portfolios'!$B$159*'[2]Level PMT calcs'!G92+'[2]Summary Portfolios'!$B$160*'[2]Balloon calcs'!G80+'[2]Summary Portfolios'!$B$161*'[2]Bullet calcs'!G80+'[2]Summary Portfolios'!$B$162*'[2]Fixed principal quarterly'!G80+'[2]Summary Portfolios'!$B$163*'[2]IO to Equal Qtrly calcs'!G80</f>
        <v>0</v>
      </c>
      <c r="I755" s="302">
        <f>'[2]Summary Portfolios'!$B$159*'[2]Level PMT calcs'!H92+'[2]Summary Portfolios'!$B$160*'[2]Balloon calcs'!H80+'[2]Summary Portfolios'!$B$161*'[2]Bullet calcs'!H80+'[2]Summary Portfolios'!$B$162*'[2]Fixed principal quarterly'!H80+'[2]Summary Portfolios'!$B$163*'[2]IO to Equal Qtrly calcs'!H80</f>
        <v>0</v>
      </c>
      <c r="J755" s="302">
        <f>'[2]Summary Portfolios'!$B$159*'[2]Level PMT calcs'!I92+'[2]Summary Portfolios'!$B$160*'[2]Balloon calcs'!I80+'[2]Summary Portfolios'!$B$161*'[2]Bullet calcs'!I80+'[2]Summary Portfolios'!$B$162*'[2]Fixed principal quarterly'!I80+'[2]Summary Portfolios'!$B$163*'[2]IO to Equal Qtrly calcs'!I80</f>
        <v>0</v>
      </c>
      <c r="K755" s="302">
        <f>'[2]Summary Portfolios'!$B$159*'[2]Level PMT calcs'!J92+'[2]Summary Portfolios'!$B$160*'[2]Balloon calcs'!J80+'[2]Summary Portfolios'!$B$161*'[2]Bullet calcs'!J80+'[2]Summary Portfolios'!$B$162*'[2]Fixed principal quarterly'!J80+'[2]Summary Portfolios'!$B$163*'[2]IO to Equal Qtrly calcs'!J80</f>
        <v>0</v>
      </c>
      <c r="L755" s="302">
        <f>'[2]Summary Portfolios'!$B$159*'[2]Level PMT calcs'!K92+'[2]Summary Portfolios'!$B$160*'[2]Balloon calcs'!K80+'[2]Summary Portfolios'!$B$161*'[2]Bullet calcs'!K80+'[2]Summary Portfolios'!$B$162*'[2]Fixed principal quarterly'!K80+'[2]Summary Portfolios'!$B$163*'[2]IO to Equal Qtrly calcs'!K80</f>
        <v>0</v>
      </c>
      <c r="M755" s="302">
        <f>'[2]Summary Portfolios'!$B$159*'[2]Level PMT calcs'!L92+'[2]Summary Portfolios'!$B$160*'[2]Balloon calcs'!L80+'[2]Summary Portfolios'!$B$161*'[2]Bullet calcs'!L80+'[2]Summary Portfolios'!$B$162*'[2]Fixed principal quarterly'!L80+'[2]Summary Portfolios'!$B$163*'[2]IO to Equal Qtrly calcs'!L80</f>
        <v>0</v>
      </c>
      <c r="O755" s="302">
        <f>SUM(D755:M755)</f>
        <v>0</v>
      </c>
    </row>
    <row r="756" spans="3:15" x14ac:dyDescent="0.2">
      <c r="C756" s="300"/>
      <c r="D756" s="302"/>
      <c r="E756" s="302"/>
      <c r="F756" s="302"/>
      <c r="G756" s="302"/>
      <c r="H756" s="302"/>
      <c r="I756" s="302"/>
      <c r="J756" s="302"/>
      <c r="K756" s="302"/>
      <c r="L756" s="302"/>
      <c r="M756" s="302"/>
    </row>
    <row r="757" spans="3:15" x14ac:dyDescent="0.2">
      <c r="C757" s="300" t="s">
        <v>575</v>
      </c>
      <c r="D757" s="302">
        <f>'[2]Summary Portfolios'!$B$159*'[2]Level PMT calcs'!C94+'[2]Summary Portfolios'!$B$160*'[2]Balloon calcs'!C82+'[2]Summary Portfolios'!$B$161*'[2]Bullet calcs'!C82+'[2]Summary Portfolios'!$B$162*'[2]Fixed principal quarterly'!C82+'[2]Summary Portfolios'!$B$163*'[2]IO to Equal Qtrly calcs'!C82</f>
        <v>371915.02160195593</v>
      </c>
      <c r="E757" s="302">
        <f>'[2]Summary Portfolios'!$B$159*'[2]Level PMT calcs'!D94+'[2]Summary Portfolios'!$B$160*'[2]Balloon calcs'!D82+'[2]Summary Portfolios'!$B$161*'[2]Bullet calcs'!D82+'[2]Summary Portfolios'!$B$162*'[2]Fixed principal quarterly'!D82+'[2]Summary Portfolios'!$B$163*'[2]IO to Equal Qtrly calcs'!D82</f>
        <v>4337160.7044572877</v>
      </c>
      <c r="F757" s="302">
        <f>'[2]Summary Portfolios'!$B$159*'[2]Level PMT calcs'!E94+'[2]Summary Portfolios'!$B$160*'[2]Balloon calcs'!E82+'[2]Summary Portfolios'!$B$161*'[2]Bullet calcs'!E82+'[2]Summary Portfolios'!$B$162*'[2]Fixed principal quarterly'!E82+'[2]Summary Portfolios'!$B$163*'[2]IO to Equal Qtrly calcs'!E82</f>
        <v>15986399.789176619</v>
      </c>
      <c r="G757" s="302">
        <f>'[2]Summary Portfolios'!$B$159*'[2]Level PMT calcs'!F94+'[2]Summary Portfolios'!$B$160*'[2]Balloon calcs'!F82+'[2]Summary Portfolios'!$B$161*'[2]Bullet calcs'!F82+'[2]Summary Portfolios'!$B$162*'[2]Fixed principal quarterly'!F82+'[2]Summary Portfolios'!$B$163*'[2]IO to Equal Qtrly calcs'!F82</f>
        <v>37949804.210730389</v>
      </c>
      <c r="H757" s="302">
        <f>'[2]Summary Portfolios'!$B$159*'[2]Level PMT calcs'!G94+'[2]Summary Portfolios'!$B$160*'[2]Balloon calcs'!G82+'[2]Summary Portfolios'!$B$161*'[2]Bullet calcs'!G82+'[2]Summary Portfolios'!$B$162*'[2]Fixed principal quarterly'!G82+'[2]Summary Portfolios'!$B$163*'[2]IO to Equal Qtrly calcs'!G82</f>
        <v>70701827.921363309</v>
      </c>
      <c r="I757" s="302">
        <f>'[2]Summary Portfolios'!$B$159*'[2]Level PMT calcs'!H94+'[2]Summary Portfolios'!$B$160*'[2]Balloon calcs'!H82+'[2]Summary Portfolios'!$B$161*'[2]Bullet calcs'!H82+'[2]Summary Portfolios'!$B$162*'[2]Fixed principal quarterly'!H82+'[2]Summary Portfolios'!$B$163*'[2]IO to Equal Qtrly calcs'!H82</f>
        <v>107945570.11918794</v>
      </c>
      <c r="J757" s="302">
        <f>'[2]Summary Portfolios'!$B$159*'[2]Level PMT calcs'!I94+'[2]Summary Portfolios'!$B$160*'[2]Balloon calcs'!I82+'[2]Summary Portfolios'!$B$161*'[2]Bullet calcs'!I82+'[2]Summary Portfolios'!$B$162*'[2]Fixed principal quarterly'!I82+'[2]Summary Portfolios'!$B$163*'[2]IO to Equal Qtrly calcs'!I82</f>
        <v>139278568.0552054</v>
      </c>
      <c r="K757" s="302">
        <f>'[2]Summary Portfolios'!$B$159*'[2]Level PMT calcs'!J94+'[2]Summary Portfolios'!$B$160*'[2]Balloon calcs'!J82+'[2]Summary Portfolios'!$B$161*'[2]Bullet calcs'!J82+'[2]Summary Portfolios'!$B$162*'[2]Fixed principal quarterly'!J82+'[2]Summary Portfolios'!$B$163*'[2]IO to Equal Qtrly calcs'!J82</f>
        <v>153973804.97214848</v>
      </c>
      <c r="L757" s="302">
        <f>'[2]Summary Portfolios'!$B$159*'[2]Level PMT calcs'!K94+'[2]Summary Portfolios'!$B$160*'[2]Balloon calcs'!K82+'[2]Summary Portfolios'!$B$161*'[2]Bullet calcs'!K82+'[2]Summary Portfolios'!$B$162*'[2]Fixed principal quarterly'!K82+'[2]Summary Portfolios'!$B$163*'[2]IO to Equal Qtrly calcs'!K82</f>
        <v>152373553.83047715</v>
      </c>
      <c r="M757" s="302">
        <f>'[2]Summary Portfolios'!$B$159*'[2]Level PMT calcs'!L94+'[2]Summary Portfolios'!$B$160*'[2]Balloon calcs'!L82+'[2]Summary Portfolios'!$B$161*'[2]Bullet calcs'!L82+'[2]Summary Portfolios'!$B$162*'[2]Fixed principal quarterly'!L82+'[2]Summary Portfolios'!$B$163*'[2]IO to Equal Qtrly calcs'!L82</f>
        <v>146966791.23498952</v>
      </c>
      <c r="O757" s="302">
        <f>SUM(D757:M757)</f>
        <v>829885395.85933805</v>
      </c>
    </row>
    <row r="758" spans="3:15" x14ac:dyDescent="0.2">
      <c r="C758" s="300" t="s">
        <v>574</v>
      </c>
      <c r="D758" s="302">
        <f>'[2]Summary Portfolios'!$B$159*'[2]Level PMT calcs'!C95+'[2]Summary Portfolios'!$B$160*'[2]Balloon calcs'!C83+'[2]Summary Portfolios'!$B$161*'[2]Bullet calcs'!C83+'[2]Summary Portfolios'!$B$162*'[2]Fixed principal quarterly'!C83+'[2]Summary Portfolios'!$B$163*'[2]IO to Equal Qtrly calcs'!C83</f>
        <v>9325.626727646084</v>
      </c>
      <c r="E758" s="302">
        <f>'[2]Summary Portfolios'!$B$159*'[2]Level PMT calcs'!D95+'[2]Summary Portfolios'!$B$160*'[2]Balloon calcs'!D83+'[2]Summary Portfolios'!$B$161*'[2]Bullet calcs'!D83+'[2]Summary Portfolios'!$B$162*'[2]Fixed principal quarterly'!D83+'[2]Summary Portfolios'!$B$163*'[2]IO to Equal Qtrly calcs'!D83</f>
        <v>126211.91389654922</v>
      </c>
      <c r="F758" s="302">
        <f>'[2]Summary Portfolios'!$B$159*'[2]Level PMT calcs'!E95+'[2]Summary Portfolios'!$B$160*'[2]Balloon calcs'!E83+'[2]Summary Portfolios'!$B$161*'[2]Bullet calcs'!E83+'[2]Summary Portfolios'!$B$162*'[2]Fixed principal quarterly'!E83+'[2]Summary Portfolios'!$B$163*'[2]IO to Equal Qtrly calcs'!E83</f>
        <v>531447.74594548834</v>
      </c>
      <c r="G758" s="302">
        <f>'[2]Summary Portfolios'!$B$159*'[2]Level PMT calcs'!F95+'[2]Summary Portfolios'!$B$160*'[2]Balloon calcs'!F83+'[2]Summary Portfolios'!$B$161*'[2]Bullet calcs'!F83+'[2]Summary Portfolios'!$B$162*'[2]Fixed principal quarterly'!F83+'[2]Summary Portfolios'!$B$163*'[2]IO to Equal Qtrly calcs'!F83</f>
        <v>1427182.1198483882</v>
      </c>
      <c r="H758" s="302">
        <f>'[2]Summary Portfolios'!$B$159*'[2]Level PMT calcs'!G95+'[2]Summary Portfolios'!$B$160*'[2]Balloon calcs'!G83+'[2]Summary Portfolios'!$B$161*'[2]Bullet calcs'!G83+'[2]Summary Portfolios'!$B$162*'[2]Fixed principal quarterly'!G83+'[2]Summary Portfolios'!$B$163*'[2]IO to Equal Qtrly calcs'!G83</f>
        <v>2833400.4664963284</v>
      </c>
      <c r="I758" s="302">
        <f>'[2]Summary Portfolios'!$B$159*'[2]Level PMT calcs'!H95+'[2]Summary Portfolios'!$B$160*'[2]Balloon calcs'!H83+'[2]Summary Portfolios'!$B$161*'[2]Bullet calcs'!H83+'[2]Summary Portfolios'!$B$162*'[2]Fixed principal quarterly'!H83+'[2]Summary Portfolios'!$B$163*'[2]IO to Equal Qtrly calcs'!H83</f>
        <v>4619313.1424733624</v>
      </c>
      <c r="J758" s="302">
        <f>'[2]Summary Portfolios'!$B$159*'[2]Level PMT calcs'!I95+'[2]Summary Portfolios'!$B$160*'[2]Balloon calcs'!I83+'[2]Summary Portfolios'!$B$161*'[2]Bullet calcs'!I83+'[2]Summary Portfolios'!$B$162*'[2]Fixed principal quarterly'!I83+'[2]Summary Portfolios'!$B$163*'[2]IO to Equal Qtrly calcs'!I83</f>
        <v>6297309.5487094019</v>
      </c>
      <c r="K758" s="302">
        <f>'[2]Summary Portfolios'!$B$159*'[2]Level PMT calcs'!J95+'[2]Summary Portfolios'!$B$160*'[2]Balloon calcs'!J83+'[2]Summary Portfolios'!$B$161*'[2]Bullet calcs'!J83+'[2]Summary Portfolios'!$B$162*'[2]Fixed principal quarterly'!J83+'[2]Summary Portfolios'!$B$163*'[2]IO to Equal Qtrly calcs'!J83</f>
        <v>7362308.4718317129</v>
      </c>
      <c r="L758" s="302">
        <f>'[2]Summary Portfolios'!$B$159*'[2]Level PMT calcs'!K95+'[2]Summary Portfolios'!$B$160*'[2]Balloon calcs'!K83+'[2]Summary Portfolios'!$B$161*'[2]Bullet calcs'!K83+'[2]Summary Portfolios'!$B$162*'[2]Fixed principal quarterly'!K83+'[2]Summary Portfolios'!$B$163*'[2]IO to Equal Qtrly calcs'!K83</f>
        <v>7553377.3393288581</v>
      </c>
      <c r="M758" s="302">
        <f>'[2]Summary Portfolios'!$B$159*'[2]Level PMT calcs'!L95+'[2]Summary Portfolios'!$B$160*'[2]Balloon calcs'!L83+'[2]Summary Portfolios'!$B$161*'[2]Bullet calcs'!L83+'[2]Summary Portfolios'!$B$162*'[2]Fixed principal quarterly'!L83+'[2]Summary Portfolios'!$B$163*'[2]IO to Equal Qtrly calcs'!L83</f>
        <v>5500105.8495406974</v>
      </c>
      <c r="O758" s="302">
        <f>SUM(D758:M758)</f>
        <v>36259982.224798433</v>
      </c>
    </row>
    <row r="759" spans="3:15" x14ac:dyDescent="0.2">
      <c r="C759" s="300" t="s">
        <v>573</v>
      </c>
      <c r="D759" s="302">
        <f>'[2]Summary Portfolios'!$B$159*'[2]Level PMT calcs'!C96+'[2]Summary Portfolios'!$B$160*'[2]Balloon calcs'!C84+'[2]Summary Portfolios'!$B$161*'[2]Bullet calcs'!C84+'[2]Summary Portfolios'!$B$162*'[2]Fixed principal quarterly'!C84+'[2]Summary Portfolios'!$B$163*'[2]IO to Equal Qtrly calcs'!C84</f>
        <v>0</v>
      </c>
      <c r="E759" s="302">
        <f>'[2]Summary Portfolios'!$B$159*'[2]Level PMT calcs'!D96+'[2]Summary Portfolios'!$B$160*'[2]Balloon calcs'!D84+'[2]Summary Portfolios'!$B$161*'[2]Bullet calcs'!D84+'[2]Summary Portfolios'!$B$162*'[2]Fixed principal quarterly'!D84+'[2]Summary Portfolios'!$B$163*'[2]IO to Equal Qtrly calcs'!D84</f>
        <v>353665.04434846033</v>
      </c>
      <c r="F759" s="302">
        <f>'[2]Summary Portfolios'!$B$159*'[2]Level PMT calcs'!E96+'[2]Summary Portfolios'!$B$160*'[2]Balloon calcs'!E84+'[2]Summary Portfolios'!$B$161*'[2]Bullet calcs'!E84+'[2]Summary Portfolios'!$B$162*'[2]Fixed principal quarterly'!E84+'[2]Summary Portfolios'!$B$163*'[2]IO to Equal Qtrly calcs'!E84</f>
        <v>4124334.9792145607</v>
      </c>
      <c r="G759" s="302">
        <f>'[2]Summary Portfolios'!$B$159*'[2]Level PMT calcs'!F96+'[2]Summary Portfolios'!$B$160*'[2]Balloon calcs'!F84+'[2]Summary Portfolios'!$B$161*'[2]Bullet calcs'!F84+'[2]Summary Portfolios'!$B$162*'[2]Fixed principal quarterly'!F84+'[2]Summary Portfolios'!$B$163*'[2]IO to Equal Qtrly calcs'!F84</f>
        <v>15201942.546064753</v>
      </c>
      <c r="H759" s="302">
        <f>'[2]Summary Portfolios'!$B$159*'[2]Level PMT calcs'!G96+'[2]Summary Portfolios'!$B$160*'[2]Balloon calcs'!G84+'[2]Summary Portfolios'!$B$161*'[2]Bullet calcs'!G84+'[2]Summary Portfolios'!$B$162*'[2]Fixed principal quarterly'!G84+'[2]Summary Portfolios'!$B$163*'[2]IO to Equal Qtrly calcs'!G84</f>
        <v>36087596.385304928</v>
      </c>
      <c r="I759" s="302">
        <f>'[2]Summary Portfolios'!$B$159*'[2]Level PMT calcs'!H96+'[2]Summary Portfolios'!$B$160*'[2]Balloon calcs'!H84+'[2]Summary Portfolios'!$B$161*'[2]Bullet calcs'!H84+'[2]Summary Portfolios'!$B$162*'[2]Fixed principal quarterly'!H84+'[2]Summary Portfolios'!$B$163*'[2]IO to Equal Qtrly calcs'!H84</f>
        <v>67232468.857059628</v>
      </c>
      <c r="J759" s="302">
        <f>'[2]Summary Portfolios'!$B$159*'[2]Level PMT calcs'!I96+'[2]Summary Portfolios'!$B$160*'[2]Balloon calcs'!I84+'[2]Summary Portfolios'!$B$161*'[2]Bullet calcs'!I84+'[2]Summary Portfolios'!$B$162*'[2]Fixed principal quarterly'!I84+'[2]Summary Portfolios'!$B$163*'[2]IO to Equal Qtrly calcs'!I84</f>
        <v>102648649.89583862</v>
      </c>
      <c r="K759" s="302">
        <f>'[2]Summary Portfolios'!$B$159*'[2]Level PMT calcs'!J96+'[2]Summary Portfolios'!$B$160*'[2]Balloon calcs'!J84+'[2]Summary Portfolios'!$B$161*'[2]Bullet calcs'!J84+'[2]Summary Portfolios'!$B$162*'[2]Fixed principal quarterly'!J84+'[2]Summary Portfolios'!$B$163*'[2]IO to Equal Qtrly calcs'!J84</f>
        <v>132444128.59653963</v>
      </c>
      <c r="L759" s="302">
        <f>'[2]Summary Portfolios'!$B$159*'[2]Level PMT calcs'!K96+'[2]Summary Portfolios'!$B$160*'[2]Balloon calcs'!K84+'[2]Summary Portfolios'!$B$161*'[2]Bullet calcs'!K84+'[2]Summary Portfolios'!$B$162*'[2]Fixed principal quarterly'!K84+'[2]Summary Portfolios'!$B$163*'[2]IO to Equal Qtrly calcs'!K84</f>
        <v>146418266.0044772</v>
      </c>
      <c r="M759" s="302">
        <f>'[2]Summary Portfolios'!$B$159*'[2]Level PMT calcs'!L96+'[2]Summary Portfolios'!$B$160*'[2]Balloon calcs'!L84+'[2]Summary Portfolios'!$B$161*'[2]Bullet calcs'!L84+'[2]Summary Portfolios'!$B$162*'[2]Fixed principal quarterly'!L84+'[2]Summary Portfolios'!$B$163*'[2]IO to Equal Qtrly calcs'!L84</f>
        <v>144896539.64733753</v>
      </c>
      <c r="O759" s="302">
        <f>SUM(D759:M759)</f>
        <v>649407591.95618534</v>
      </c>
    </row>
    <row r="760" spans="3:15" x14ac:dyDescent="0.2">
      <c r="C760" s="300" t="s">
        <v>572</v>
      </c>
      <c r="D760" s="302">
        <f>'[2]Summary Portfolios'!$B$159*'[2]Level PMT calcs'!C97+'[2]Summary Portfolios'!$B$160*'[2]Balloon calcs'!C85+'[2]Summary Portfolios'!$B$161*'[2]Bullet calcs'!C85+'[2]Summary Portfolios'!$B$162*'[2]Fixed principal quarterly'!C85+'[2]Summary Portfolios'!$B$163*'[2]IO to Equal Qtrly calcs'!C85</f>
        <v>362589.39487430983</v>
      </c>
      <c r="E760" s="302">
        <f>'[2]Summary Portfolios'!$B$159*'[2]Level PMT calcs'!D97+'[2]Summary Portfolios'!$B$160*'[2]Balloon calcs'!D85+'[2]Summary Portfolios'!$B$161*'[2]Bullet calcs'!D85+'[2]Summary Portfolios'!$B$162*'[2]Fixed principal quarterly'!D85+'[2]Summary Portfolios'!$B$163*'[2]IO to Equal Qtrly calcs'!D85</f>
        <v>3857283.746212278</v>
      </c>
      <c r="F760" s="302">
        <f>'[2]Summary Portfolios'!$B$159*'[2]Level PMT calcs'!E97+'[2]Summary Portfolios'!$B$160*'[2]Balloon calcs'!E85+'[2]Summary Portfolios'!$B$161*'[2]Bullet calcs'!E85+'[2]Summary Portfolios'!$B$162*'[2]Fixed principal quarterly'!E85+'[2]Summary Portfolios'!$B$163*'[2]IO to Equal Qtrly calcs'!E85</f>
        <v>11330617.064016569</v>
      </c>
      <c r="G760" s="302">
        <f>'[2]Summary Portfolios'!$B$159*'[2]Level PMT calcs'!F97+'[2]Summary Portfolios'!$B$160*'[2]Balloon calcs'!F85+'[2]Summary Portfolios'!$B$161*'[2]Bullet calcs'!F85+'[2]Summary Portfolios'!$B$162*'[2]Fixed principal quarterly'!F85+'[2]Summary Portfolios'!$B$163*'[2]IO to Equal Qtrly calcs'!F85</f>
        <v>21320679.544817246</v>
      </c>
      <c r="H760" s="302">
        <f>'[2]Summary Portfolios'!$B$159*'[2]Level PMT calcs'!G97+'[2]Summary Portfolios'!$B$160*'[2]Balloon calcs'!G85+'[2]Summary Portfolios'!$B$161*'[2]Bullet calcs'!G85+'[2]Summary Portfolios'!$B$162*'[2]Fixed principal quarterly'!G85+'[2]Summary Portfolios'!$B$163*'[2]IO to Equal Qtrly calcs'!G85</f>
        <v>31780831.069562055</v>
      </c>
      <c r="I760" s="302">
        <f>'[2]Summary Portfolios'!$B$159*'[2]Level PMT calcs'!H97+'[2]Summary Portfolios'!$B$160*'[2]Balloon calcs'!H85+'[2]Summary Portfolios'!$B$161*'[2]Bullet calcs'!H85+'[2]Summary Portfolios'!$B$162*'[2]Fixed principal quarterly'!H85+'[2]Summary Portfolios'!$B$163*'[2]IO to Equal Qtrly calcs'!H85</f>
        <v>36093788.119654939</v>
      </c>
      <c r="J760" s="302">
        <f>'[2]Summary Portfolios'!$B$159*'[2]Level PMT calcs'!I97+'[2]Summary Portfolios'!$B$160*'[2]Balloon calcs'!I85+'[2]Summary Portfolios'!$B$161*'[2]Bullet calcs'!I85+'[2]Summary Portfolios'!$B$162*'[2]Fixed principal quarterly'!I85+'[2]Summary Portfolios'!$B$163*'[2]IO to Equal Qtrly calcs'!I85</f>
        <v>30332608.610657379</v>
      </c>
      <c r="K760" s="302">
        <f>'[2]Summary Portfolios'!$B$159*'[2]Level PMT calcs'!J97+'[2]Summary Portfolios'!$B$160*'[2]Balloon calcs'!J85+'[2]Summary Portfolios'!$B$161*'[2]Bullet calcs'!J85+'[2]Summary Portfolios'!$B$162*'[2]Fixed principal quarterly'!J85+'[2]Summary Portfolios'!$B$163*'[2]IO to Equal Qtrly calcs'!J85</f>
        <v>14167367.903777122</v>
      </c>
      <c r="L760" s="302">
        <f>'[2]Summary Portfolios'!$B$159*'[2]Level PMT calcs'!K97+'[2]Summary Portfolios'!$B$160*'[2]Balloon calcs'!K85+'[2]Summary Portfolios'!$B$161*'[2]Bullet calcs'!K85+'[2]Summary Portfolios'!$B$162*'[2]Fixed principal quarterly'!K85+'[2]Summary Portfolios'!$B$163*'[2]IO to Equal Qtrly calcs'!K85</f>
        <v>-1598089.5133289099</v>
      </c>
      <c r="M760" s="302">
        <f>'[2]Summary Portfolios'!$B$159*'[2]Level PMT calcs'!L97+'[2]Summary Portfolios'!$B$160*'[2]Balloon calcs'!L85+'[2]Summary Portfolios'!$B$161*'[2]Bullet calcs'!L85+'[2]Summary Portfolios'!$B$162*'[2]Fixed principal quarterly'!L85+'[2]Summary Portfolios'!$B$163*'[2]IO to Equal Qtrly calcs'!L85</f>
        <v>-3429854.2618887126</v>
      </c>
      <c r="O760" s="302">
        <f>SUM(D760:M760)</f>
        <v>144217821.67835429</v>
      </c>
    </row>
    <row r="761" spans="3:15" x14ac:dyDescent="0.2">
      <c r="C761" s="42"/>
    </row>
    <row r="762" spans="3:15" x14ac:dyDescent="0.2">
      <c r="C762" s="42"/>
    </row>
    <row r="763" spans="3:15" x14ac:dyDescent="0.2">
      <c r="C763" s="300" t="s">
        <v>255</v>
      </c>
      <c r="D763" s="302">
        <f>'[2]Program design'!E46*'M2'!D744</f>
        <v>1924952.8206941695</v>
      </c>
      <c r="E763" s="376">
        <f>'[2]Program design'!F46*'M2'!E744</f>
        <v>8269508.8297293056</v>
      </c>
      <c r="F763" s="376">
        <f>'[2]Program design'!G46*'M2'!F744</f>
        <v>31689462.976324748</v>
      </c>
      <c r="G763" s="376">
        <f>'[2]Program design'!H46*'M2'!G744</f>
        <v>108253742.99467075</v>
      </c>
      <c r="H763" s="376">
        <f>'[2]Program design'!I46*'M2'!H744</f>
        <v>156652158.80001146</v>
      </c>
      <c r="I763" s="376">
        <f>'[2]Program design'!J46*'M2'!I744</f>
        <v>102898830.99187678</v>
      </c>
      <c r="J763" s="376">
        <f>'[2]Program design'!K46*'M2'!J744</f>
        <v>144096189.46041736</v>
      </c>
      <c r="K763" s="376">
        <f>'[2]Program design'!L46*'M2'!K744</f>
        <v>137261184.56527728</v>
      </c>
      <c r="L763" s="376">
        <f>'[2]Program design'!M46*'M2'!L744</f>
        <v>214777913.208078</v>
      </c>
      <c r="M763" s="376">
        <f>'[2]Program design'!N46*'M2'!M744</f>
        <v>219500853.58026326</v>
      </c>
      <c r="O763" s="302">
        <f>SUM(D763:M763)</f>
        <v>1125324798.2273431</v>
      </c>
    </row>
    <row r="764" spans="3:15" x14ac:dyDescent="0.2">
      <c r="C764" s="300" t="s">
        <v>571</v>
      </c>
      <c r="D764" s="318"/>
      <c r="E764" s="318">
        <f t="shared" ref="E764:M764" si="42">D764</f>
        <v>0</v>
      </c>
      <c r="F764" s="318">
        <f t="shared" si="42"/>
        <v>0</v>
      </c>
      <c r="G764" s="318">
        <f t="shared" si="42"/>
        <v>0</v>
      </c>
      <c r="H764" s="318">
        <f t="shared" si="42"/>
        <v>0</v>
      </c>
      <c r="I764" s="318">
        <f t="shared" si="42"/>
        <v>0</v>
      </c>
      <c r="J764" s="318">
        <f t="shared" si="42"/>
        <v>0</v>
      </c>
      <c r="K764" s="318">
        <f t="shared" si="42"/>
        <v>0</v>
      </c>
      <c r="L764" s="318">
        <f t="shared" si="42"/>
        <v>0</v>
      </c>
      <c r="M764" s="318">
        <f t="shared" si="42"/>
        <v>0</v>
      </c>
    </row>
    <row r="765" spans="3:15" x14ac:dyDescent="0.2">
      <c r="C765" s="300" t="s">
        <v>570</v>
      </c>
      <c r="D765" s="302">
        <f t="shared" ref="D765:M765" si="43">D764*D744</f>
        <v>0</v>
      </c>
      <c r="E765" s="302">
        <f t="shared" si="43"/>
        <v>0</v>
      </c>
      <c r="F765" s="302">
        <f t="shared" si="43"/>
        <v>0</v>
      </c>
      <c r="G765" s="302">
        <f t="shared" si="43"/>
        <v>0</v>
      </c>
      <c r="H765" s="302">
        <f t="shared" si="43"/>
        <v>0</v>
      </c>
      <c r="I765" s="302">
        <f t="shared" si="43"/>
        <v>0</v>
      </c>
      <c r="J765" s="302">
        <f t="shared" si="43"/>
        <v>0</v>
      </c>
      <c r="K765" s="302">
        <f t="shared" si="43"/>
        <v>0</v>
      </c>
      <c r="L765" s="302">
        <f t="shared" si="43"/>
        <v>0</v>
      </c>
      <c r="M765" s="302">
        <f t="shared" si="43"/>
        <v>0</v>
      </c>
      <c r="O765" s="302">
        <f>SUM(D765:M765)</f>
        <v>0</v>
      </c>
    </row>
    <row r="766" spans="3:15" x14ac:dyDescent="0.2">
      <c r="C766" s="300"/>
    </row>
    <row r="767" spans="3:15" x14ac:dyDescent="0.2">
      <c r="C767" s="300" t="s">
        <v>569</v>
      </c>
      <c r="D767" s="303">
        <f t="shared" ref="D767:M767" si="44">D749+SUM(D752:D755)-D760-D763-D765</f>
        <v>3757915.5491472571</v>
      </c>
      <c r="E767" s="303">
        <f t="shared" si="44"/>
        <v>10451517.633078972</v>
      </c>
      <c r="F767" s="303">
        <f t="shared" si="44"/>
        <v>36347445.222049877</v>
      </c>
      <c r="G767" s="303">
        <f t="shared" si="44"/>
        <v>40797196.189351439</v>
      </c>
      <c r="H767" s="303">
        <f t="shared" si="44"/>
        <v>93322429.650991291</v>
      </c>
      <c r="I767" s="303">
        <f t="shared" si="44"/>
        <v>195851029.62056863</v>
      </c>
      <c r="J767" s="303">
        <f t="shared" si="44"/>
        <v>188432432.11350223</v>
      </c>
      <c r="K767" s="303">
        <f t="shared" si="44"/>
        <v>190211306.23411685</v>
      </c>
      <c r="L767" s="303">
        <f t="shared" si="44"/>
        <v>118505331.76126459</v>
      </c>
      <c r="M767" s="303">
        <f t="shared" si="44"/>
        <v>151521583.65438735</v>
      </c>
      <c r="O767" s="302">
        <f>SUM(D767:M767)</f>
        <v>1029198187.6284584</v>
      </c>
    </row>
    <row r="768" spans="3:15" x14ac:dyDescent="0.2">
      <c r="C768" s="300"/>
    </row>
    <row r="769" spans="3:15" x14ac:dyDescent="0.2">
      <c r="C769" s="300" t="s">
        <v>568</v>
      </c>
      <c r="D769" s="318">
        <v>0</v>
      </c>
      <c r="E769" s="318">
        <f t="shared" ref="E769:M769" si="45">D769</f>
        <v>0</v>
      </c>
      <c r="F769" s="318">
        <f t="shared" si="45"/>
        <v>0</v>
      </c>
      <c r="G769" s="318">
        <f t="shared" si="45"/>
        <v>0</v>
      </c>
      <c r="H769" s="318">
        <f t="shared" si="45"/>
        <v>0</v>
      </c>
      <c r="I769" s="318">
        <f t="shared" si="45"/>
        <v>0</v>
      </c>
      <c r="J769" s="318">
        <f t="shared" si="45"/>
        <v>0</v>
      </c>
      <c r="K769" s="318">
        <f t="shared" si="45"/>
        <v>0</v>
      </c>
      <c r="L769" s="318">
        <f t="shared" si="45"/>
        <v>0</v>
      </c>
      <c r="M769" s="318">
        <f t="shared" si="45"/>
        <v>0</v>
      </c>
    </row>
    <row r="770" spans="3:15" ht="24" x14ac:dyDescent="0.2">
      <c r="C770" s="310" t="s">
        <v>567</v>
      </c>
      <c r="D770" s="302">
        <f t="shared" ref="D770:M770" si="46">D769*D741</f>
        <v>0</v>
      </c>
      <c r="E770" s="302">
        <f t="shared" si="46"/>
        <v>0</v>
      </c>
      <c r="F770" s="302">
        <f t="shared" si="46"/>
        <v>0</v>
      </c>
      <c r="G770" s="302">
        <f t="shared" si="46"/>
        <v>0</v>
      </c>
      <c r="H770" s="302">
        <f t="shared" si="46"/>
        <v>0</v>
      </c>
      <c r="I770" s="302">
        <f t="shared" si="46"/>
        <v>0</v>
      </c>
      <c r="J770" s="302">
        <f t="shared" si="46"/>
        <v>0</v>
      </c>
      <c r="K770" s="302">
        <f t="shared" si="46"/>
        <v>0</v>
      </c>
      <c r="L770" s="302">
        <f t="shared" si="46"/>
        <v>0</v>
      </c>
      <c r="M770" s="302">
        <f t="shared" si="46"/>
        <v>0</v>
      </c>
      <c r="O770" s="302">
        <f>SUM(D770:M770)</f>
        <v>0</v>
      </c>
    </row>
    <row r="777" spans="3:15" x14ac:dyDescent="0.2">
      <c r="C777" s="406" t="s">
        <v>590</v>
      </c>
      <c r="D777" s="407"/>
      <c r="E777" s="408"/>
      <c r="F777" s="409"/>
      <c r="G777" s="409"/>
      <c r="H777" s="409"/>
      <c r="I777" s="409"/>
      <c r="J777" s="409"/>
      <c r="K777" s="409"/>
      <c r="L777" s="409"/>
      <c r="M777" s="409"/>
      <c r="N777" s="410"/>
      <c r="O777" s="410"/>
    </row>
    <row r="778" spans="3:15" x14ac:dyDescent="0.2">
      <c r="C778" s="407"/>
      <c r="D778" s="407"/>
      <c r="E778" s="409"/>
      <c r="F778" s="409"/>
      <c r="G778" s="409"/>
      <c r="H778" s="409"/>
      <c r="I778" s="409"/>
      <c r="J778" s="409"/>
      <c r="K778" s="409"/>
      <c r="L778" s="409"/>
      <c r="M778" s="409"/>
      <c r="N778" s="410"/>
      <c r="O778" s="410"/>
    </row>
    <row r="780" spans="3:15" x14ac:dyDescent="0.2">
      <c r="C780" s="311" t="s">
        <v>533</v>
      </c>
      <c r="D780" s="311"/>
      <c r="E780" s="311"/>
      <c r="F780" s="313"/>
      <c r="G780" s="313"/>
      <c r="H780" s="313"/>
      <c r="I780" s="313"/>
      <c r="J780" s="313"/>
      <c r="K780" s="312"/>
      <c r="L780" s="311"/>
      <c r="M780" s="311"/>
      <c r="N780" s="311"/>
      <c r="O780" s="311"/>
    </row>
    <row r="782" spans="3:15" x14ac:dyDescent="0.2">
      <c r="C782" s="300" t="s">
        <v>534</v>
      </c>
      <c r="D782" s="301">
        <f>'[3]Program design'!E31</f>
        <v>2016</v>
      </c>
      <c r="E782" s="301">
        <f>'[3]Program design'!F31</f>
        <v>2017</v>
      </c>
      <c r="F782" s="301">
        <f>'[3]Program design'!G31</f>
        <v>2018</v>
      </c>
      <c r="G782" s="301">
        <f>'[3]Program design'!H31</f>
        <v>2019</v>
      </c>
      <c r="H782" s="301">
        <f>'[3]Program design'!I31</f>
        <v>2020</v>
      </c>
      <c r="I782" s="301">
        <f>'[3]Program design'!J31</f>
        <v>2021</v>
      </c>
      <c r="J782" s="301">
        <f>'[3]Program design'!K31</f>
        <v>2022</v>
      </c>
      <c r="K782" s="301">
        <f>'[3]Program design'!L31</f>
        <v>2023</v>
      </c>
      <c r="L782" s="301">
        <f>'[3]Program design'!M31</f>
        <v>2024</v>
      </c>
      <c r="M782" s="301">
        <f>'[3]Program design'!N31</f>
        <v>2025</v>
      </c>
      <c r="O782" s="301" t="s">
        <v>581</v>
      </c>
    </row>
    <row r="783" spans="3:15" x14ac:dyDescent="0.2">
      <c r="C783" s="315"/>
      <c r="D783" s="300"/>
      <c r="E783" s="300"/>
      <c r="F783" s="300"/>
      <c r="G783" s="300"/>
      <c r="H783" s="300"/>
      <c r="I783" s="300"/>
      <c r="J783" s="300"/>
      <c r="K783" s="300"/>
      <c r="L783" s="300"/>
      <c r="M783" s="300"/>
      <c r="O783" s="300"/>
    </row>
    <row r="784" spans="3:15" x14ac:dyDescent="0.2">
      <c r="C784" s="315" t="s">
        <v>580</v>
      </c>
      <c r="D784" s="303">
        <f>'[3]Summary Portfolios'!B60</f>
        <v>125000000</v>
      </c>
      <c r="E784" s="303"/>
      <c r="F784" s="303"/>
      <c r="G784" s="303"/>
      <c r="H784" s="303"/>
      <c r="I784" s="303"/>
      <c r="J784" s="303"/>
      <c r="K784" s="303"/>
      <c r="L784" s="303"/>
      <c r="M784" s="303"/>
      <c r="O784" s="303"/>
    </row>
    <row r="785" spans="3:15" x14ac:dyDescent="0.2">
      <c r="C785" s="315" t="s">
        <v>579</v>
      </c>
      <c r="D785" s="303">
        <f>'[3]Summary Portfolios'!B61</f>
        <v>500</v>
      </c>
      <c r="E785" s="303"/>
      <c r="F785" s="303"/>
      <c r="G785" s="303"/>
      <c r="H785" s="303"/>
      <c r="I785" s="303"/>
      <c r="J785" s="303"/>
      <c r="K785" s="303"/>
      <c r="L785" s="303"/>
      <c r="M785" s="303"/>
      <c r="O785" s="303"/>
    </row>
    <row r="786" spans="3:15" x14ac:dyDescent="0.2">
      <c r="D786" s="300"/>
      <c r="E786" s="300"/>
      <c r="F786" s="300"/>
      <c r="G786" s="300"/>
      <c r="H786" s="300"/>
      <c r="I786" s="300"/>
      <c r="J786" s="300"/>
      <c r="K786" s="300"/>
      <c r="L786" s="300"/>
      <c r="M786" s="300"/>
      <c r="O786" s="300"/>
    </row>
    <row r="787" spans="3:15" x14ac:dyDescent="0.2">
      <c r="C787" s="315" t="s">
        <v>589</v>
      </c>
      <c r="D787" s="303">
        <f>'[3]Summary Portfolios'!B63</f>
        <v>121491952.18486601</v>
      </c>
      <c r="E787" s="303"/>
      <c r="F787" s="303"/>
      <c r="G787" s="303"/>
      <c r="H787" s="303"/>
      <c r="I787" s="303"/>
      <c r="J787" s="303"/>
      <c r="K787" s="303"/>
      <c r="L787" s="303"/>
      <c r="M787" s="303"/>
      <c r="O787" s="300"/>
    </row>
    <row r="788" spans="3:15" x14ac:dyDescent="0.2">
      <c r="C788" s="315" t="s">
        <v>588</v>
      </c>
      <c r="D788" s="303">
        <f>'[3]Summary Portfolios'!B64</f>
        <v>494.55512348939897</v>
      </c>
      <c r="E788" s="303"/>
      <c r="F788" s="303"/>
      <c r="G788" s="303"/>
      <c r="H788" s="303"/>
      <c r="I788" s="303"/>
      <c r="J788" s="303"/>
      <c r="K788" s="303"/>
      <c r="L788" s="303"/>
      <c r="M788" s="303"/>
      <c r="O788" s="300"/>
    </row>
    <row r="789" spans="3:15" x14ac:dyDescent="0.2">
      <c r="C789" s="315"/>
      <c r="D789" s="300"/>
      <c r="E789" s="300"/>
      <c r="F789" s="300"/>
      <c r="G789" s="300"/>
      <c r="H789" s="300"/>
      <c r="I789" s="300"/>
      <c r="J789" s="300"/>
      <c r="K789" s="300"/>
      <c r="L789" s="300"/>
      <c r="M789" s="300"/>
      <c r="O789" s="300"/>
    </row>
    <row r="790" spans="3:15" x14ac:dyDescent="0.2">
      <c r="C790" s="315" t="s">
        <v>587</v>
      </c>
      <c r="D790" s="303">
        <f>'[3]Summary Portfolios'!B66</f>
        <v>2542453.0553793395</v>
      </c>
      <c r="E790" s="303"/>
      <c r="F790" s="303"/>
      <c r="G790" s="303"/>
      <c r="H790" s="303"/>
      <c r="I790" s="303"/>
      <c r="J790" s="303"/>
      <c r="K790" s="303"/>
      <c r="L790" s="303"/>
      <c r="M790" s="303"/>
      <c r="O790" s="303"/>
    </row>
    <row r="791" spans="3:15" x14ac:dyDescent="0.2">
      <c r="C791" s="315"/>
      <c r="D791" s="300"/>
      <c r="E791" s="300"/>
      <c r="F791" s="300"/>
      <c r="G791" s="300"/>
      <c r="H791" s="300"/>
      <c r="I791" s="300"/>
      <c r="J791" s="300"/>
      <c r="K791" s="300"/>
      <c r="L791" s="300"/>
      <c r="M791" s="300"/>
      <c r="O791" s="300"/>
    </row>
    <row r="792" spans="3:15" x14ac:dyDescent="0.2">
      <c r="C792" s="315" t="s">
        <v>586</v>
      </c>
      <c r="D792" s="300"/>
      <c r="E792" s="300"/>
      <c r="F792" s="300"/>
      <c r="G792" s="300"/>
      <c r="H792" s="300"/>
      <c r="I792" s="300"/>
      <c r="J792" s="300"/>
      <c r="K792" s="300"/>
      <c r="L792" s="300"/>
      <c r="M792" s="300"/>
      <c r="O792" s="300"/>
    </row>
    <row r="793" spans="3:15" x14ac:dyDescent="0.2">
      <c r="C793" s="315"/>
      <c r="D793" s="300"/>
      <c r="E793" s="300"/>
      <c r="F793" s="300"/>
      <c r="G793" s="300"/>
      <c r="H793" s="300"/>
      <c r="I793" s="300"/>
      <c r="J793" s="300"/>
      <c r="K793" s="300"/>
      <c r="L793" s="300"/>
      <c r="M793" s="300"/>
      <c r="O793" s="300"/>
    </row>
    <row r="794" spans="3:15" x14ac:dyDescent="0.2">
      <c r="C794" s="316" t="s">
        <v>545</v>
      </c>
      <c r="D794" s="303">
        <f>'[3]Summary Portfolios'!B68</f>
        <v>3069213.4661137797</v>
      </c>
      <c r="E794" s="303"/>
      <c r="F794" s="303"/>
      <c r="G794" s="303"/>
      <c r="H794" s="303"/>
      <c r="I794" s="303"/>
      <c r="J794" s="303"/>
      <c r="K794" s="303"/>
      <c r="L794" s="303"/>
      <c r="M794" s="303"/>
      <c r="O794" s="303"/>
    </row>
    <row r="795" spans="3:15" x14ac:dyDescent="0.2">
      <c r="C795" s="317"/>
      <c r="D795" s="300"/>
      <c r="E795" s="300"/>
      <c r="F795" s="300"/>
      <c r="G795" s="300"/>
      <c r="H795" s="300"/>
      <c r="I795" s="300"/>
      <c r="J795" s="300"/>
      <c r="K795" s="300"/>
      <c r="L795" s="300"/>
      <c r="M795" s="300"/>
      <c r="O795" s="300"/>
    </row>
    <row r="796" spans="3:15" x14ac:dyDescent="0.2">
      <c r="C796" s="317" t="s">
        <v>576</v>
      </c>
      <c r="D796" s="300"/>
      <c r="E796" s="300"/>
      <c r="F796" s="300"/>
      <c r="G796" s="300"/>
      <c r="H796" s="300"/>
      <c r="I796" s="300"/>
      <c r="J796" s="300"/>
      <c r="K796" s="300"/>
      <c r="L796" s="300"/>
      <c r="M796" s="300"/>
      <c r="O796" s="300"/>
    </row>
    <row r="797" spans="3:15" x14ac:dyDescent="0.2">
      <c r="C797" s="317" t="s">
        <v>1</v>
      </c>
      <c r="D797" s="303">
        <f>'[3]Summary Portfolios'!B71</f>
        <v>2500000</v>
      </c>
      <c r="E797" s="303"/>
      <c r="F797" s="303"/>
      <c r="G797" s="303"/>
      <c r="H797" s="303"/>
      <c r="I797" s="303"/>
      <c r="J797" s="303"/>
      <c r="K797" s="303"/>
      <c r="L797" s="303"/>
      <c r="M797" s="303"/>
      <c r="O797" s="303"/>
    </row>
    <row r="798" spans="3:15" x14ac:dyDescent="0.2">
      <c r="C798" s="317" t="s">
        <v>476</v>
      </c>
      <c r="D798" s="303">
        <f>'[3]Summary Portfolios'!B72</f>
        <v>1544951.6156074395</v>
      </c>
      <c r="E798" s="303"/>
      <c r="F798" s="303"/>
      <c r="G798" s="303"/>
      <c r="H798" s="303"/>
      <c r="I798" s="303"/>
      <c r="J798" s="303"/>
      <c r="K798" s="303"/>
      <c r="L798" s="303"/>
      <c r="M798" s="303"/>
      <c r="O798" s="303"/>
    </row>
    <row r="799" spans="3:15" x14ac:dyDescent="0.2">
      <c r="C799" s="317" t="s">
        <v>479</v>
      </c>
      <c r="D799" s="303">
        <f>'[3]Summary Portfolios'!B73</f>
        <v>0</v>
      </c>
      <c r="E799" s="303"/>
      <c r="F799" s="303"/>
      <c r="G799" s="303"/>
      <c r="H799" s="303"/>
      <c r="I799" s="303"/>
      <c r="J799" s="303"/>
      <c r="K799" s="303"/>
      <c r="L799" s="303"/>
      <c r="M799" s="303"/>
      <c r="O799" s="303"/>
    </row>
    <row r="800" spans="3:15" x14ac:dyDescent="0.2">
      <c r="C800" s="317" t="s">
        <v>480</v>
      </c>
      <c r="D800" s="303">
        <f>'[3]Summary Portfolios'!B74</f>
        <v>0</v>
      </c>
      <c r="E800" s="303"/>
      <c r="F800" s="303"/>
      <c r="G800" s="303"/>
      <c r="H800" s="303"/>
      <c r="I800" s="303"/>
      <c r="J800" s="303"/>
      <c r="K800" s="303"/>
      <c r="L800" s="303"/>
      <c r="M800" s="303"/>
      <c r="O800" s="303"/>
    </row>
    <row r="801" spans="3:15" x14ac:dyDescent="0.2">
      <c r="C801" s="315"/>
      <c r="D801" s="300"/>
      <c r="E801" s="300"/>
      <c r="F801" s="300"/>
      <c r="G801" s="300"/>
      <c r="H801" s="300"/>
      <c r="I801" s="300"/>
      <c r="J801" s="300"/>
      <c r="K801" s="300"/>
      <c r="L801" s="300"/>
      <c r="M801" s="300"/>
      <c r="O801" s="300"/>
    </row>
    <row r="802" spans="3:15" x14ac:dyDescent="0.2">
      <c r="C802" s="300" t="s">
        <v>575</v>
      </c>
      <c r="D802" s="303">
        <f>'[3]Summary Portfolios'!B76</f>
        <v>965594.75975464995</v>
      </c>
      <c r="E802" s="303"/>
      <c r="F802" s="303"/>
      <c r="G802" s="303"/>
      <c r="H802" s="303"/>
      <c r="I802" s="303"/>
      <c r="J802" s="303"/>
      <c r="K802" s="303"/>
      <c r="L802" s="303"/>
      <c r="M802" s="303"/>
      <c r="O802" s="303"/>
    </row>
    <row r="803" spans="3:15" x14ac:dyDescent="0.2">
      <c r="C803" s="300" t="s">
        <v>574</v>
      </c>
      <c r="D803" s="303">
        <f>'[3]Summary Portfolios'!B77</f>
        <v>23981.68464896037</v>
      </c>
      <c r="E803" s="303"/>
      <c r="F803" s="303"/>
      <c r="G803" s="303"/>
      <c r="H803" s="303"/>
      <c r="I803" s="303"/>
      <c r="J803" s="303"/>
      <c r="K803" s="303"/>
      <c r="L803" s="303"/>
      <c r="M803" s="303"/>
      <c r="O803" s="303"/>
    </row>
    <row r="804" spans="3:15" x14ac:dyDescent="0.2">
      <c r="C804" s="300" t="s">
        <v>573</v>
      </c>
      <c r="D804" s="303">
        <f>'[3]Summary Portfolios'!B78</f>
        <v>0</v>
      </c>
      <c r="E804" s="303"/>
      <c r="F804" s="303"/>
      <c r="G804" s="303"/>
      <c r="H804" s="303"/>
      <c r="I804" s="303"/>
      <c r="J804" s="303"/>
      <c r="K804" s="303"/>
      <c r="L804" s="303"/>
      <c r="M804" s="303"/>
      <c r="O804" s="303"/>
    </row>
    <row r="805" spans="3:15" x14ac:dyDescent="0.2">
      <c r="C805" s="300" t="s">
        <v>572</v>
      </c>
      <c r="D805" s="303">
        <f>'[3]Summary Portfolios'!B79</f>
        <v>941613.07510568958</v>
      </c>
      <c r="E805" s="303"/>
      <c r="F805" s="303"/>
      <c r="G805" s="303"/>
      <c r="H805" s="303"/>
      <c r="I805" s="303"/>
      <c r="J805" s="303"/>
      <c r="K805" s="303"/>
      <c r="L805" s="303"/>
      <c r="M805" s="303"/>
      <c r="O805" s="303"/>
    </row>
    <row r="806" spans="3:15" x14ac:dyDescent="0.2">
      <c r="C806" s="315"/>
      <c r="D806" s="300"/>
      <c r="E806" s="300"/>
      <c r="F806" s="300"/>
      <c r="G806" s="300"/>
      <c r="H806" s="300"/>
      <c r="I806" s="300"/>
      <c r="J806" s="300"/>
      <c r="K806" s="300"/>
      <c r="L806" s="300"/>
      <c r="M806" s="300"/>
      <c r="O806" s="300"/>
    </row>
    <row r="807" spans="3:15" x14ac:dyDescent="0.2">
      <c r="C807" s="315" t="s">
        <v>585</v>
      </c>
      <c r="D807" s="318">
        <v>0.03</v>
      </c>
      <c r="E807" s="318"/>
      <c r="F807" s="318"/>
      <c r="G807" s="318"/>
      <c r="H807" s="318"/>
      <c r="I807" s="318"/>
      <c r="J807" s="318"/>
      <c r="K807" s="318"/>
      <c r="L807" s="318"/>
      <c r="M807" s="318"/>
      <c r="O807" s="300"/>
    </row>
    <row r="808" spans="3:15" x14ac:dyDescent="0.2">
      <c r="C808" s="315" t="s">
        <v>584</v>
      </c>
      <c r="D808" s="318">
        <v>0.1</v>
      </c>
      <c r="E808" s="318"/>
      <c r="F808" s="318"/>
      <c r="G808" s="318"/>
      <c r="H808" s="318"/>
      <c r="I808" s="318"/>
      <c r="J808" s="318"/>
      <c r="K808" s="318"/>
      <c r="L808" s="318"/>
      <c r="M808" s="318"/>
      <c r="O808" s="300"/>
    </row>
    <row r="809" spans="3:15" x14ac:dyDescent="0.2">
      <c r="C809" s="315"/>
      <c r="D809" s="300"/>
      <c r="E809" s="300"/>
      <c r="F809" s="300"/>
      <c r="G809" s="300"/>
      <c r="H809" s="300"/>
      <c r="I809" s="300"/>
      <c r="J809" s="300"/>
      <c r="K809" s="300"/>
      <c r="L809" s="300"/>
      <c r="M809" s="300"/>
      <c r="O809" s="300"/>
    </row>
    <row r="810" spans="3:15" x14ac:dyDescent="0.2">
      <c r="C810" s="315" t="s">
        <v>255</v>
      </c>
      <c r="D810" s="303">
        <f>D807*D787*(1-'[3]Delivery Platform'!$E$16)</f>
        <v>3644758.5655459804</v>
      </c>
      <c r="E810" s="303"/>
      <c r="F810" s="303"/>
      <c r="G810" s="303"/>
      <c r="H810" s="303"/>
      <c r="I810" s="303"/>
      <c r="J810" s="303"/>
      <c r="K810" s="303"/>
      <c r="L810" s="303"/>
      <c r="M810" s="303"/>
      <c r="O810" s="303"/>
    </row>
    <row r="811" spans="3:15" x14ac:dyDescent="0.2">
      <c r="C811" s="315" t="s">
        <v>513</v>
      </c>
      <c r="D811" s="303">
        <f>D808*D787</f>
        <v>12149195.218486601</v>
      </c>
      <c r="E811" s="303"/>
      <c r="F811" s="303"/>
      <c r="G811" s="303"/>
      <c r="H811" s="303"/>
      <c r="I811" s="303"/>
      <c r="J811" s="303"/>
      <c r="K811" s="303"/>
      <c r="L811" s="303"/>
      <c r="M811" s="303"/>
      <c r="O811" s="303"/>
    </row>
    <row r="812" spans="3:15" x14ac:dyDescent="0.2">
      <c r="C812" s="315"/>
      <c r="D812" s="300"/>
      <c r="E812" s="300"/>
      <c r="F812" s="300"/>
      <c r="G812" s="300"/>
      <c r="H812" s="300"/>
      <c r="I812" s="300"/>
      <c r="J812" s="300"/>
      <c r="K812" s="300"/>
      <c r="L812" s="300"/>
      <c r="M812" s="300"/>
      <c r="O812" s="300"/>
    </row>
    <row r="813" spans="3:15" x14ac:dyDescent="0.2">
      <c r="C813" s="315" t="s">
        <v>569</v>
      </c>
      <c r="D813" s="303">
        <f>D794+SUM(D797:D800)-D805-SUM(D810:D811)</f>
        <v>-9621401.7774170525</v>
      </c>
      <c r="E813" s="303"/>
      <c r="F813" s="303"/>
      <c r="G813" s="303"/>
      <c r="H813" s="303"/>
      <c r="I813" s="303"/>
      <c r="J813" s="303"/>
      <c r="K813" s="303"/>
      <c r="L813" s="303"/>
      <c r="M813" s="303"/>
      <c r="O813" s="303"/>
    </row>
  </sheetData>
  <mergeCells count="107">
    <mergeCell ref="A1:N2"/>
    <mergeCell ref="C735:O736"/>
    <mergeCell ref="C619:D619"/>
    <mergeCell ref="C682:O683"/>
    <mergeCell ref="C602:D602"/>
    <mergeCell ref="C605:D605"/>
    <mergeCell ref="C606:D606"/>
    <mergeCell ref="C612:K613"/>
    <mergeCell ref="L612:M613"/>
    <mergeCell ref="C569:D569"/>
    <mergeCell ref="C570:D570"/>
    <mergeCell ref="C571:D571"/>
    <mergeCell ref="C578:D578"/>
    <mergeCell ref="C579:D579"/>
    <mergeCell ref="C566:D566"/>
    <mergeCell ref="C567:D567"/>
    <mergeCell ref="C568:D568"/>
    <mergeCell ref="G568:I568"/>
    <mergeCell ref="A437:K438"/>
    <mergeCell ref="E447:G447"/>
    <mergeCell ref="H458:J458"/>
    <mergeCell ref="H464:J464"/>
    <mergeCell ref="C539:D539"/>
    <mergeCell ref="E626:N629"/>
    <mergeCell ref="C556:D556"/>
    <mergeCell ref="E562:H562"/>
    <mergeCell ref="J562:M562"/>
    <mergeCell ref="C550:D550"/>
    <mergeCell ref="C554:D554"/>
    <mergeCell ref="C555:D555"/>
    <mergeCell ref="C529:D529"/>
    <mergeCell ref="E533:M534"/>
    <mergeCell ref="C470:O471"/>
    <mergeCell ref="C477:D477"/>
    <mergeCell ref="E481:M485"/>
    <mergeCell ref="C487:D487"/>
    <mergeCell ref="E492:M497"/>
    <mergeCell ref="E498:M500"/>
    <mergeCell ref="E501:M502"/>
    <mergeCell ref="C511:K512"/>
    <mergeCell ref="L511:M512"/>
    <mergeCell ref="B162:C162"/>
    <mergeCell ref="J181:M183"/>
    <mergeCell ref="C423:H430"/>
    <mergeCell ref="C352:H353"/>
    <mergeCell ref="C370:H373"/>
    <mergeCell ref="C374:H379"/>
    <mergeCell ref="J184:M186"/>
    <mergeCell ref="H285:M285"/>
    <mergeCell ref="H293:M293"/>
    <mergeCell ref="C403:H407"/>
    <mergeCell ref="C201:L202"/>
    <mergeCell ref="C220:O223"/>
    <mergeCell ref="J193:M196"/>
    <mergeCell ref="B178:C178"/>
    <mergeCell ref="C229:L230"/>
    <mergeCell ref="A181:C181"/>
    <mergeCell ref="J164:M166"/>
    <mergeCell ref="J177:M178"/>
    <mergeCell ref="J189:M189"/>
    <mergeCell ref="J187:M188"/>
    <mergeCell ref="C9:I10"/>
    <mergeCell ref="C17:K18"/>
    <mergeCell ref="C20:K21"/>
    <mergeCell ref="C28:I29"/>
    <mergeCell ref="F35:G35"/>
    <mergeCell ref="I35:J35"/>
    <mergeCell ref="J152:M153"/>
    <mergeCell ref="J149:M151"/>
    <mergeCell ref="J154:M155"/>
    <mergeCell ref="E143:F143"/>
    <mergeCell ref="H143:I143"/>
    <mergeCell ref="A108:J110"/>
    <mergeCell ref="A141:C144"/>
    <mergeCell ref="J138:M141"/>
    <mergeCell ref="J146:M148"/>
    <mergeCell ref="J142:M144"/>
    <mergeCell ref="B151:C151"/>
    <mergeCell ref="B118:C118"/>
    <mergeCell ref="F122:G122"/>
    <mergeCell ref="B91:C91"/>
    <mergeCell ref="B101:C101"/>
    <mergeCell ref="F83:G83"/>
    <mergeCell ref="C777:D778"/>
    <mergeCell ref="E777:M778"/>
    <mergeCell ref="N777:O778"/>
    <mergeCell ref="I83:J83"/>
    <mergeCell ref="B63:C63"/>
    <mergeCell ref="B43:C43"/>
    <mergeCell ref="B53:C53"/>
    <mergeCell ref="F68:G68"/>
    <mergeCell ref="J157:M159"/>
    <mergeCell ref="J160:M161"/>
    <mergeCell ref="J190:M192"/>
    <mergeCell ref="J172:M176"/>
    <mergeCell ref="C308:H309"/>
    <mergeCell ref="C327:H329"/>
    <mergeCell ref="C267:O270"/>
    <mergeCell ref="H281:M281"/>
    <mergeCell ref="C274:O277"/>
    <mergeCell ref="C260:O261"/>
    <mergeCell ref="C302:O305"/>
    <mergeCell ref="C295:O300"/>
    <mergeCell ref="C265:K265"/>
    <mergeCell ref="H283:M283"/>
    <mergeCell ref="H284:M284"/>
    <mergeCell ref="J162:M163"/>
  </mergeCells>
  <conditionalFormatting sqref="C571:E571">
    <cfRule type="expression" dxfId="9" priority="7">
      <formula>$E$62&lt;&gt;$P$64</formula>
    </cfRule>
  </conditionalFormatting>
  <conditionalFormatting sqref="C567:E567">
    <cfRule type="expression" dxfId="8" priority="11">
      <formula>AND($E$62&lt;&gt;$P$61,$E$62&lt;&gt;$P$62)</formula>
    </cfRule>
  </conditionalFormatting>
  <conditionalFormatting sqref="C568:E568">
    <cfRule type="expression" dxfId="7" priority="10">
      <formula>AND($E$62&lt;&gt;$P$62,$E$62&lt;&gt;$P$63)</formula>
    </cfRule>
  </conditionalFormatting>
  <conditionalFormatting sqref="C569:E569">
    <cfRule type="expression" dxfId="6" priority="9">
      <formula>$E$62&lt;&gt;$P$65</formula>
    </cfRule>
  </conditionalFormatting>
  <conditionalFormatting sqref="C570:E570">
    <cfRule type="expression" dxfId="5" priority="8">
      <formula>$E$62&lt;&gt;$P$65</formula>
    </cfRule>
  </conditionalFormatting>
  <conditionalFormatting sqref="E452:J452">
    <cfRule type="expression" dxfId="4" priority="4">
      <formula>$C$10&lt;&gt;$Q$6</formula>
    </cfRule>
  </conditionalFormatting>
  <conditionalFormatting sqref="E457:J457">
    <cfRule type="expression" dxfId="3" priority="3">
      <formula>$C$10&lt;&gt;$Q$7</formula>
    </cfRule>
  </conditionalFormatting>
  <conditionalFormatting sqref="E462:J462">
    <cfRule type="expression" dxfId="2" priority="2">
      <formula>$C$10&lt;&gt;$Q$8</formula>
    </cfRule>
  </conditionalFormatting>
  <dataValidations count="5">
    <dataValidation type="list" allowBlank="1" showInputMessage="1" showErrorMessage="1" sqref="E566">
      <formula1>$P$61:$P$65</formula1>
    </dataValidation>
    <dataValidation type="whole" operator="greaterThan" allowBlank="1" showInputMessage="1" showErrorMessage="1" sqref="E567">
      <formula1>3</formula1>
    </dataValidation>
    <dataValidation type="list" allowBlank="1" showInputMessage="1" showErrorMessage="1" sqref="E447:G447">
      <formula1>$Q$6:$Q$8</formula1>
    </dataValidation>
    <dataValidation type="list" allowBlank="1" showInputMessage="1" showErrorMessage="1" sqref="E556">
      <formula1>$P$36:$P$37</formula1>
    </dataValidation>
    <dataValidation type="list" allowBlank="1" showInputMessage="1" showErrorMessage="1" sqref="E554">
      <formula1>$E$37:$L$37</formula1>
    </dataValidation>
  </dataValidations>
  <pageMargins left="0.7" right="0.7" top="0.75" bottom="0.75" header="0.3" footer="0.3"/>
  <pageSetup scale="10" orientation="landscape" r:id="rId1"/>
  <extLst>
    <ext xmlns:x14="http://schemas.microsoft.com/office/spreadsheetml/2009/9/main" uri="{78C0D931-6437-407d-A8EE-F0AAD7539E65}">
      <x14:conditionalFormattings>
        <x14:conditionalFormatting xmlns:xm="http://schemas.microsoft.com/office/excel/2006/main">
          <x14:cfRule type="expression" priority="5" id="{C1238B64-8321-4D32-A140-898550A1EA1F}">
            <xm:f>'\Users\Charles\Dropbox\MIT\[chopCHART_2_6.30.16_Mission and Metrics ver1pt93.xlsx]Delivery Platform'!#REF!&lt;&gt;'\Users\Charles\Dropbox\MIT\[chopCHART_2_6.30.16_Mission and Metrics ver1pt93.xlsx]Delivery Platform'!#REF!</xm:f>
            <x14:dxf>
              <font>
                <color theme="1"/>
              </font>
              <fill>
                <patternFill patternType="solid">
                  <fgColor indexed="64"/>
                  <bgColor theme="1"/>
                </patternFill>
              </fill>
            </x14:dxf>
          </x14:cfRule>
          <xm:sqref>C780:O813</xm:sqref>
        </x14:conditionalFormatting>
        <x14:conditionalFormatting xmlns:xm="http://schemas.microsoft.com/office/excel/2006/main">
          <x14:cfRule type="expression" priority="1" id="{5910AD75-9341-4A0A-AA28-1321DDE82F6D}">
            <xm:f>'C:\Users\shiba\AppData\Local\Microsoft\Windows\Temporary Internet Files\Content.MSO\[MM2FPC_ver1pt94for CHART 2 CORRECTED.CDT.xlsx]Delivery Platform'!#REF!&lt;&gt;'C:\Users\shiba\AppData\Local\Microsoft\Windows\Temporary Internet Files\Content.MSO\[MM2FPC_ver1pt94for CHART 2 CORRECTED.CDT.xlsx]Delivery Platform'!#REF!</xm:f>
            <x14:dxf>
              <font>
                <color theme="1"/>
              </font>
              <fill>
                <patternFill patternType="solid">
                  <fgColor indexed="64"/>
                  <bgColor theme="1"/>
                </patternFill>
              </fill>
            </x14:dxf>
          </x14:cfRule>
          <xm:sqref>C738:O770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Outline</vt:lpstr>
      <vt:lpstr>M2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Tansey</dc:creator>
  <cp:lastModifiedBy>Shiba Nemat-Nasser</cp:lastModifiedBy>
  <cp:lastPrinted>2016-07-01T16:11:00Z</cp:lastPrinted>
  <dcterms:created xsi:type="dcterms:W3CDTF">2015-09-23T14:22:07Z</dcterms:created>
  <dcterms:modified xsi:type="dcterms:W3CDTF">2016-07-01T21:47:39Z</dcterms:modified>
</cp:coreProperties>
</file>